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svenskidrott.sharepoint.com/sites/Flygsport-styrelsen/Delade dokument/General/2021/2021-01-24/Nice to have/Ekonomi/"/>
    </mc:Choice>
  </mc:AlternateContent>
  <xr:revisionPtr revIDLastSave="18" documentId="8_{7309EEED-568D-4C74-82EF-9B4325D737C4}" xr6:coauthVersionLast="46" xr6:coauthVersionMax="46" xr10:uidLastSave="{D51F46D5-AC44-483F-8843-C027D8087611}"/>
  <bookViews>
    <workbookView xWindow="-120" yWindow="-120" windowWidth="29040" windowHeight="15990" xr2:uid="{00000000-000D-0000-FFFF-FFFF00000000}"/>
  </bookViews>
  <sheets>
    <sheet name="Budget 2021" sheetId="14" r:id="rId1"/>
    <sheet name="2020" sheetId="12" r:id="rId2"/>
    <sheet name="Personalkostnader" sheetId="4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4" l="1"/>
  <c r="C64" i="12"/>
  <c r="C14" i="14"/>
  <c r="B8" i="14"/>
  <c r="F30" i="14"/>
  <c r="F45" i="14" s="1"/>
  <c r="C30" i="14"/>
  <c r="B53" i="14"/>
  <c r="H45" i="14"/>
  <c r="E45" i="14"/>
  <c r="C45" i="14"/>
  <c r="D45" i="14"/>
  <c r="B63" i="12"/>
  <c r="C65" i="12"/>
  <c r="H13" i="14"/>
  <c r="H14" i="14" s="1"/>
  <c r="G13" i="14"/>
  <c r="G14" i="14" s="1"/>
  <c r="F13" i="14"/>
  <c r="F14" i="14" s="1"/>
  <c r="E13" i="14"/>
  <c r="E14" i="14" s="1"/>
  <c r="D13" i="14"/>
  <c r="D14" i="14" s="1"/>
  <c r="H76" i="12"/>
  <c r="D64" i="12"/>
  <c r="H14" i="12"/>
  <c r="G14" i="12"/>
  <c r="F14" i="12"/>
  <c r="E14" i="12"/>
  <c r="D14" i="12"/>
  <c r="C14" i="12"/>
  <c r="B13" i="12"/>
  <c r="B10" i="14"/>
  <c r="C66" i="14"/>
  <c r="B66" i="14" s="1"/>
  <c r="C84" i="14"/>
  <c r="N49" i="4"/>
  <c r="N48" i="4"/>
  <c r="N47" i="4"/>
  <c r="J47" i="4" s="1"/>
  <c r="M45" i="4"/>
  <c r="L45" i="4"/>
  <c r="K45" i="4"/>
  <c r="J45" i="4"/>
  <c r="I45" i="4"/>
  <c r="H45" i="4"/>
  <c r="G45" i="4"/>
  <c r="F45" i="4"/>
  <c r="N45" i="4" s="1"/>
  <c r="E45" i="4"/>
  <c r="M49" i="4"/>
  <c r="L49" i="4"/>
  <c r="K49" i="4"/>
  <c r="J49" i="4"/>
  <c r="I49" i="4"/>
  <c r="H49" i="4"/>
  <c r="G49" i="4"/>
  <c r="F49" i="4"/>
  <c r="E49" i="4"/>
  <c r="M48" i="4"/>
  <c r="L48" i="4"/>
  <c r="K48" i="4"/>
  <c r="J48" i="4"/>
  <c r="I48" i="4"/>
  <c r="H48" i="4"/>
  <c r="G48" i="4"/>
  <c r="F48" i="4"/>
  <c r="E48" i="4"/>
  <c r="K47" i="4"/>
  <c r="G47" i="4"/>
  <c r="C50" i="4"/>
  <c r="M46" i="4"/>
  <c r="L46" i="4"/>
  <c r="K46" i="4"/>
  <c r="K50" i="4" s="1"/>
  <c r="J46" i="4"/>
  <c r="I46" i="4"/>
  <c r="H46" i="4"/>
  <c r="G46" i="4"/>
  <c r="G50" i="4" s="1"/>
  <c r="F46" i="4"/>
  <c r="E46" i="4"/>
  <c r="B51" i="14"/>
  <c r="B52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7" i="14"/>
  <c r="B68" i="14"/>
  <c r="B69" i="14"/>
  <c r="B70" i="14"/>
  <c r="B71" i="14"/>
  <c r="B72" i="14"/>
  <c r="B73" i="14"/>
  <c r="C50" i="14"/>
  <c r="B50" i="14" s="1"/>
  <c r="C49" i="14"/>
  <c r="B49" i="14" s="1"/>
  <c r="C48" i="14"/>
  <c r="B48" i="14" s="1"/>
  <c r="B28" i="14"/>
  <c r="B29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4" i="14"/>
  <c r="B12" i="14"/>
  <c r="B30" i="14" l="1"/>
  <c r="B45" i="14"/>
  <c r="H50" i="4"/>
  <c r="L50" i="4"/>
  <c r="D50" i="4"/>
  <c r="H47" i="4"/>
  <c r="L47" i="4"/>
  <c r="E50" i="4"/>
  <c r="M50" i="4"/>
  <c r="E47" i="4"/>
  <c r="I47" i="4"/>
  <c r="I50" i="4" s="1"/>
  <c r="M47" i="4"/>
  <c r="B50" i="4"/>
  <c r="F47" i="4"/>
  <c r="F50" i="4"/>
  <c r="J50" i="4"/>
  <c r="G89" i="14"/>
  <c r="F89" i="14"/>
  <c r="E89" i="14"/>
  <c r="D89" i="14"/>
  <c r="B88" i="14"/>
  <c r="B87" i="14"/>
  <c r="B86" i="14"/>
  <c r="B85" i="14"/>
  <c r="B84" i="14"/>
  <c r="B83" i="14"/>
  <c r="B82" i="14"/>
  <c r="B81" i="14"/>
  <c r="B80" i="14"/>
  <c r="B79" i="14"/>
  <c r="C78" i="14"/>
  <c r="B77" i="14"/>
  <c r="H74" i="14"/>
  <c r="F74" i="14"/>
  <c r="E74" i="14"/>
  <c r="D74" i="14"/>
  <c r="C74" i="14"/>
  <c r="G45" i="14"/>
  <c r="H22" i="14"/>
  <c r="G22" i="14"/>
  <c r="F22" i="14"/>
  <c r="E22" i="14"/>
  <c r="D22" i="14"/>
  <c r="C22" i="14"/>
  <c r="B21" i="14"/>
  <c r="B22" i="14" s="1"/>
  <c r="H18" i="14"/>
  <c r="G18" i="14"/>
  <c r="F18" i="14"/>
  <c r="E18" i="14"/>
  <c r="D18" i="14"/>
  <c r="C18" i="14"/>
  <c r="B17" i="14"/>
  <c r="B18" i="14" s="1"/>
  <c r="B11" i="14"/>
  <c r="B9" i="14"/>
  <c r="B7" i="14"/>
  <c r="B6" i="14"/>
  <c r="B5" i="14"/>
  <c r="B4" i="14"/>
  <c r="B3" i="14"/>
  <c r="M40" i="4"/>
  <c r="L40" i="4"/>
  <c r="K40" i="4"/>
  <c r="J40" i="4"/>
  <c r="I40" i="4"/>
  <c r="H40" i="4"/>
  <c r="G40" i="4"/>
  <c r="F40" i="4"/>
  <c r="E40" i="4"/>
  <c r="D40" i="4"/>
  <c r="C40" i="4"/>
  <c r="M39" i="4"/>
  <c r="L39" i="4"/>
  <c r="K39" i="4"/>
  <c r="J39" i="4"/>
  <c r="I39" i="4"/>
  <c r="H39" i="4"/>
  <c r="G39" i="4"/>
  <c r="F39" i="4"/>
  <c r="E39" i="4"/>
  <c r="D39" i="4"/>
  <c r="C39" i="4"/>
  <c r="B40" i="4"/>
  <c r="B39" i="4"/>
  <c r="M38" i="4"/>
  <c r="L38" i="4"/>
  <c r="K38" i="4"/>
  <c r="J38" i="4"/>
  <c r="I38" i="4"/>
  <c r="H38" i="4"/>
  <c r="G38" i="4"/>
  <c r="F38" i="4"/>
  <c r="E38" i="4"/>
  <c r="D38" i="4"/>
  <c r="C38" i="4"/>
  <c r="B38" i="4"/>
  <c r="M37" i="4"/>
  <c r="L37" i="4"/>
  <c r="K37" i="4"/>
  <c r="J37" i="4"/>
  <c r="I37" i="4"/>
  <c r="H37" i="4"/>
  <c r="G37" i="4"/>
  <c r="F37" i="4"/>
  <c r="E37" i="4"/>
  <c r="D37" i="4"/>
  <c r="C37" i="4"/>
  <c r="B37" i="4"/>
  <c r="N36" i="4"/>
  <c r="N50" i="4" l="1"/>
  <c r="B74" i="14"/>
  <c r="G24" i="14"/>
  <c r="C24" i="14"/>
  <c r="G91" i="14"/>
  <c r="E91" i="14"/>
  <c r="D91" i="14"/>
  <c r="F91" i="14"/>
  <c r="C89" i="14"/>
  <c r="C91" i="14" s="1"/>
  <c r="H89" i="14"/>
  <c r="H91" i="14" s="1"/>
  <c r="B78" i="14"/>
  <c r="B89" i="14" s="1"/>
  <c r="G93" i="14" l="1"/>
  <c r="C93" i="14"/>
  <c r="B37" i="12"/>
  <c r="C76" i="12"/>
  <c r="C87" i="12" s="1"/>
  <c r="B76" i="12"/>
  <c r="B86" i="12"/>
  <c r="B85" i="12"/>
  <c r="B84" i="12"/>
  <c r="B83" i="12"/>
  <c r="B82" i="12"/>
  <c r="B81" i="12"/>
  <c r="B80" i="12"/>
  <c r="B79" i="12"/>
  <c r="B78" i="12"/>
  <c r="B77" i="12"/>
  <c r="B75" i="12"/>
  <c r="B71" i="12"/>
  <c r="B70" i="12"/>
  <c r="B69" i="12"/>
  <c r="B68" i="12"/>
  <c r="B67" i="12"/>
  <c r="B66" i="12"/>
  <c r="B65" i="12"/>
  <c r="B64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2" i="12"/>
  <c r="B41" i="12"/>
  <c r="B40" i="12"/>
  <c r="B39" i="12"/>
  <c r="B38" i="12"/>
  <c r="B36" i="12"/>
  <c r="B35" i="12"/>
  <c r="B34" i="12"/>
  <c r="B33" i="12"/>
  <c r="B32" i="12"/>
  <c r="B31" i="12"/>
  <c r="B30" i="12"/>
  <c r="B29" i="12"/>
  <c r="B28" i="12"/>
  <c r="B21" i="12"/>
  <c r="B22" i="12" s="1"/>
  <c r="B17" i="12"/>
  <c r="B18" i="12" s="1"/>
  <c r="B12" i="12"/>
  <c r="B14" i="12" s="1"/>
  <c r="B11" i="12"/>
  <c r="B10" i="12"/>
  <c r="B9" i="12"/>
  <c r="B8" i="12"/>
  <c r="B7" i="12"/>
  <c r="B6" i="12"/>
  <c r="B5" i="12"/>
  <c r="B4" i="12"/>
  <c r="B3" i="12"/>
  <c r="H87" i="12"/>
  <c r="G87" i="12"/>
  <c r="F87" i="12"/>
  <c r="E87" i="12"/>
  <c r="D87" i="12"/>
  <c r="H72" i="12"/>
  <c r="G72" i="12"/>
  <c r="F72" i="12"/>
  <c r="E72" i="12"/>
  <c r="D72" i="12"/>
  <c r="C72" i="12"/>
  <c r="H43" i="12"/>
  <c r="G43" i="12"/>
  <c r="F43" i="12"/>
  <c r="E43" i="12"/>
  <c r="D43" i="12"/>
  <c r="C43" i="12"/>
  <c r="H22" i="12"/>
  <c r="G22" i="12"/>
  <c r="F22" i="12"/>
  <c r="E22" i="12"/>
  <c r="D22" i="12"/>
  <c r="C22" i="12"/>
  <c r="H18" i="12"/>
  <c r="G18" i="12"/>
  <c r="F18" i="12"/>
  <c r="E18" i="12"/>
  <c r="D18" i="12"/>
  <c r="C18" i="12"/>
  <c r="M41" i="4"/>
  <c r="M42" i="4" s="1"/>
  <c r="L41" i="4"/>
  <c r="L42" i="4" s="1"/>
  <c r="K41" i="4"/>
  <c r="K42" i="4" s="1"/>
  <c r="J41" i="4"/>
  <c r="J42" i="4" s="1"/>
  <c r="I41" i="4"/>
  <c r="I42" i="4" s="1"/>
  <c r="H41" i="4"/>
  <c r="H42" i="4" s="1"/>
  <c r="F41" i="4"/>
  <c r="F42" i="4" s="1"/>
  <c r="E41" i="4"/>
  <c r="E42" i="4" s="1"/>
  <c r="D41" i="4"/>
  <c r="D42" i="4" s="1"/>
  <c r="C41" i="4"/>
  <c r="C42" i="4" s="1"/>
  <c r="B41" i="4"/>
  <c r="B42" i="4" s="1"/>
  <c r="G41" i="4"/>
  <c r="G42" i="4" s="1"/>
  <c r="M32" i="4"/>
  <c r="L32" i="4"/>
  <c r="K32" i="4"/>
  <c r="J32" i="4"/>
  <c r="I32" i="4"/>
  <c r="H32" i="4"/>
  <c r="F32" i="4"/>
  <c r="E32" i="4"/>
  <c r="D32" i="4"/>
  <c r="C32" i="4"/>
  <c r="B32" i="4"/>
  <c r="N31" i="4"/>
  <c r="P31" i="4" s="1"/>
  <c r="N30" i="4"/>
  <c r="P30" i="4" s="1"/>
  <c r="N29" i="4"/>
  <c r="P29" i="4" s="1"/>
  <c r="N28" i="4"/>
  <c r="P28" i="4" s="1"/>
  <c r="N27" i="4"/>
  <c r="P27" i="4" s="1"/>
  <c r="G26" i="4"/>
  <c r="G32" i="4" s="1"/>
  <c r="N25" i="4"/>
  <c r="P25" i="4" s="1"/>
  <c r="N24" i="4"/>
  <c r="P24" i="4" s="1"/>
  <c r="M21" i="4"/>
  <c r="L21" i="4"/>
  <c r="K21" i="4"/>
  <c r="J21" i="4"/>
  <c r="I21" i="4"/>
  <c r="H21" i="4"/>
  <c r="F21" i="4"/>
  <c r="E21" i="4"/>
  <c r="D21" i="4"/>
  <c r="C21" i="4"/>
  <c r="B21" i="4"/>
  <c r="N20" i="4"/>
  <c r="P20" i="4" s="1"/>
  <c r="N19" i="4"/>
  <c r="P19" i="4" s="1"/>
  <c r="N18" i="4"/>
  <c r="P18" i="4" s="1"/>
  <c r="N17" i="4"/>
  <c r="P17" i="4" s="1"/>
  <c r="N16" i="4"/>
  <c r="P16" i="4" s="1"/>
  <c r="G15" i="4"/>
  <c r="G21" i="4" s="1"/>
  <c r="N14" i="4"/>
  <c r="P14" i="4" s="1"/>
  <c r="N13" i="4"/>
  <c r="P13" i="4" s="1"/>
  <c r="M10" i="4"/>
  <c r="L10" i="4"/>
  <c r="K10" i="4"/>
  <c r="J10" i="4"/>
  <c r="I10" i="4"/>
  <c r="H10" i="4"/>
  <c r="F10" i="4"/>
  <c r="E10" i="4"/>
  <c r="D10" i="4"/>
  <c r="C10" i="4"/>
  <c r="B10" i="4"/>
  <c r="N9" i="4"/>
  <c r="N8" i="4"/>
  <c r="N7" i="4"/>
  <c r="N6" i="4"/>
  <c r="N5" i="4"/>
  <c r="G4" i="4"/>
  <c r="N4" i="4" s="1"/>
  <c r="N3" i="4"/>
  <c r="N2" i="4"/>
  <c r="D24" i="12" l="1"/>
  <c r="G24" i="12"/>
  <c r="H24" i="12"/>
  <c r="D89" i="12"/>
  <c r="B87" i="12"/>
  <c r="N41" i="4"/>
  <c r="N32" i="4"/>
  <c r="S32" i="4" s="1"/>
  <c r="H89" i="12"/>
  <c r="C24" i="12"/>
  <c r="F89" i="12"/>
  <c r="E89" i="12"/>
  <c r="C89" i="12"/>
  <c r="G89" i="12"/>
  <c r="B72" i="12"/>
  <c r="B43" i="12"/>
  <c r="B24" i="12"/>
  <c r="E24" i="12"/>
  <c r="F24" i="12"/>
  <c r="N21" i="4"/>
  <c r="G10" i="4"/>
  <c r="N10" i="4" s="1"/>
  <c r="N26" i="4"/>
  <c r="P26" i="4" s="1"/>
  <c r="N15" i="4"/>
  <c r="P15" i="4" s="1"/>
  <c r="D91" i="12" l="1"/>
  <c r="D24" i="14" s="1"/>
  <c r="D93" i="14" s="1"/>
  <c r="G91" i="12"/>
  <c r="C91" i="12"/>
  <c r="H91" i="12"/>
  <c r="H24" i="14" s="1"/>
  <c r="H93" i="14" s="1"/>
  <c r="F91" i="12"/>
  <c r="F24" i="14" s="1"/>
  <c r="F93" i="14" s="1"/>
  <c r="E91" i="12"/>
  <c r="E24" i="14" s="1"/>
  <c r="E93" i="14" s="1"/>
  <c r="N42" i="4"/>
  <c r="P32" i="4"/>
  <c r="B89" i="12"/>
  <c r="B91" i="12" s="1"/>
  <c r="S21" i="4"/>
  <c r="P21" i="4"/>
  <c r="B13" i="14" l="1"/>
  <c r="B14" i="14" s="1"/>
  <c r="B24" i="14" s="1"/>
  <c r="B91" i="14"/>
  <c r="B93" i="14" l="1"/>
</calcChain>
</file>

<file path=xl/sharedStrings.xml><?xml version="1.0" encoding="utf-8"?>
<sst xmlns="http://schemas.openxmlformats.org/spreadsheetml/2006/main" count="440" uniqueCount="142">
  <si>
    <t>2019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</si>
  <si>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</si>
  <si>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</si>
  <si>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</si>
  <si>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</si>
  <si>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</si>
  <si>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</si>
  <si>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</si>
  <si>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</si>
  <si>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</si>
  <si>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</si>
  <si>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</si>
  <si>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</si>
  <si>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Årstotal</t>
  </si>
  <si>
    <t>Kommentarer</t>
  </si>
  <si>
    <t>Collectum</t>
  </si>
  <si>
    <t>ITP2+TGL, ITPK</t>
  </si>
  <si>
    <t>Fora</t>
  </si>
  <si>
    <t>AGS, FPT, TGL, TFA, Avtalspension, Trygghetsrådet</t>
  </si>
  <si>
    <t>Lön</t>
  </si>
  <si>
    <t>Socialaavgifter</t>
  </si>
  <si>
    <t>Semester och löneskuld</t>
  </si>
  <si>
    <t>Förändring av semester löneskuld</t>
  </si>
  <si>
    <t>Semesterlöner till tjänstemän</t>
  </si>
  <si>
    <t>Totalt</t>
  </si>
  <si>
    <t>2020 GS</t>
  </si>
  <si>
    <t>Kolumn1</t>
  </si>
  <si>
    <t>Kolumn2</t>
  </si>
  <si>
    <t>Kolumn3</t>
  </si>
  <si>
    <t>2021 lön</t>
  </si>
  <si>
    <t>adderat 2,5%</t>
  </si>
  <si>
    <t>Del till digitaliseringsprojektet</t>
  </si>
  <si>
    <t>2021 GS</t>
  </si>
  <si>
    <t>adderat 3,5 från 2019%</t>
  </si>
  <si>
    <t>Medlemsavgifter</t>
  </si>
  <si>
    <t>Föreningskostnader</t>
  </si>
  <si>
    <t>Övriga externa kostnader</t>
  </si>
  <si>
    <t>Personalkostnader</t>
  </si>
  <si>
    <t>3010 RF Organisationsstöd</t>
  </si>
  <si>
    <t>3011 RF V-stöd Barn &amp; Ungdom</t>
  </si>
  <si>
    <t>3012 RF V-stöd Elit (Landslag)</t>
  </si>
  <si>
    <t>3015 RF V-stöd Vuxenidrott</t>
  </si>
  <si>
    <t>3021 RF Projekt Digitalisering med E-sportförbundet</t>
  </si>
  <si>
    <t>3023 RF Projekt Internationellt utvecklingsarbete</t>
  </si>
  <si>
    <t>3210 Sponsorintäkter, Svenska spel mm</t>
  </si>
  <si>
    <t>3591 FAI Licenser</t>
  </si>
  <si>
    <t>3599 Övrig Försäljning</t>
  </si>
  <si>
    <t>3630 Administrativa intäkter</t>
  </si>
  <si>
    <t>Intäkter</t>
  </si>
  <si>
    <t>Nettoomsättning</t>
  </si>
  <si>
    <t>Summa nettoomsättning</t>
  </si>
  <si>
    <t>3890 Medlemsavgifter</t>
  </si>
  <si>
    <t>Summa medlemsavgifter</t>
  </si>
  <si>
    <t>Övriga föreningsintäkter</t>
  </si>
  <si>
    <t>3990 Övriga Intäkter</t>
  </si>
  <si>
    <t>Summa övriga föreningsintäkter</t>
  </si>
  <si>
    <t>Summa intäkter</t>
  </si>
  <si>
    <t>Kostnader</t>
  </si>
  <si>
    <t>4015 Projektbidrag GF/SDF</t>
  </si>
  <si>
    <t>4020 Grenförbundsbidrag</t>
  </si>
  <si>
    <t>4030 Landslagsbidrag</t>
  </si>
  <si>
    <t>4031 Elitstipendium</t>
  </si>
  <si>
    <t>4041 Luftrum - Arenadatabasen</t>
  </si>
  <si>
    <t>4042 Föreningsutveckling</t>
  </si>
  <si>
    <t>4043 Projekt Strategisk plattform</t>
  </si>
  <si>
    <t>4044 Utbildningskostnader</t>
  </si>
  <si>
    <t>4046 Demokrati &amp; Digitalisering</t>
  </si>
  <si>
    <t>4048 Miljö</t>
  </si>
  <si>
    <t>4211 Tävlingsevenemang (SM-veckan mm)</t>
  </si>
  <si>
    <t>4401 Anti doping aktiviteter</t>
  </si>
  <si>
    <t>4540 Landslags- och profilkläder</t>
  </si>
  <si>
    <t>4560 Unga ledare</t>
  </si>
  <si>
    <t>4590 Priser, medaljer</t>
  </si>
  <si>
    <t>Summa föreningskostnader</t>
  </si>
  <si>
    <t>5010 Lokalhyra</t>
  </si>
  <si>
    <t>5011 Förrådshyra</t>
  </si>
  <si>
    <t>5090 Övriga lokalkostnader</t>
  </si>
  <si>
    <t>5410 Förbrukningsinventarier</t>
  </si>
  <si>
    <t>5800 Resor, kost och logi</t>
  </si>
  <si>
    <t>5802 Resor, kost och logi Barn &amp; Ungdom</t>
  </si>
  <si>
    <t>5804 Resor, kost och logi Demokrati &amp; Digitalisering</t>
  </si>
  <si>
    <t>5990 Övriga reklam- PR-kostnader</t>
  </si>
  <si>
    <t>6090 Övriga Förbundskostnader</t>
  </si>
  <si>
    <t>6110 Kontorsmaterial</t>
  </si>
  <si>
    <t>6150 Trycksaker</t>
  </si>
  <si>
    <t>6210 Telekommunikation</t>
  </si>
  <si>
    <t>6250 Postbefordran</t>
  </si>
  <si>
    <t>6310 Försäkringar</t>
  </si>
  <si>
    <t>6351 Utjämningskonto</t>
  </si>
  <si>
    <t>6410 Styrelsearvoden</t>
  </si>
  <si>
    <t>6420 Revisionsarvoden</t>
  </si>
  <si>
    <t>6530 Redovisningstjänster</t>
  </si>
  <si>
    <t>6540 IT-tjänster</t>
  </si>
  <si>
    <t>6550 Konsultarvode Kansli, Disciplinnämnd etc</t>
  </si>
  <si>
    <t>6570 Bankkostnader</t>
  </si>
  <si>
    <t>6970 Tidningar, tidskrifter och facklitteratur</t>
  </si>
  <si>
    <t>6980 Medlems- och föreningsavgifter</t>
  </si>
  <si>
    <t>6981 FAI medlemsavgifter och andra adm avgifter</t>
  </si>
  <si>
    <t>6982 Medlemsavgift EAS</t>
  </si>
  <si>
    <t>6990 Övriga externa kostnader</t>
  </si>
  <si>
    <t>Summa övriga externa kostnader</t>
  </si>
  <si>
    <t>7210 Löner till tjänstemän</t>
  </si>
  <si>
    <t>7240 Styrelsearvoden</t>
  </si>
  <si>
    <t>7285 Semesterlöner till tjänstemän</t>
  </si>
  <si>
    <t>7290 Förändring av semesterlöneskuld</t>
  </si>
  <si>
    <t>7331 Skattefri bilersättning</t>
  </si>
  <si>
    <t>7332 Skattepliktig bilersättning</t>
  </si>
  <si>
    <t>7510 Sociala avg, lagstadgade 31,42%</t>
  </si>
  <si>
    <t>7519 Arbetsgivaravgifter för semester- och löneskuld</t>
  </si>
  <si>
    <t>7580 Grupplivförsäkringspremier</t>
  </si>
  <si>
    <t>7610 Utbildning</t>
  </si>
  <si>
    <t>7699 Övriga personalkostnader (friskvård)</t>
  </si>
  <si>
    <t>Summa personalkostnader</t>
  </si>
  <si>
    <t>Summa kostnader</t>
  </si>
  <si>
    <t>Budgeterat resultat/Utfall</t>
  </si>
  <si>
    <t>BoU</t>
  </si>
  <si>
    <t>Vuxen</t>
  </si>
  <si>
    <t>Elit</t>
  </si>
  <si>
    <t>Fria medel</t>
  </si>
  <si>
    <t>Proj Internationellt</t>
  </si>
  <si>
    <t>Proj Digitalisering</t>
  </si>
  <si>
    <t>2020U</t>
  </si>
  <si>
    <t>Varav 7210 Personalkostnader som tas av projekt och ändamålsbestämda medel</t>
  </si>
  <si>
    <t>2021 Anställd 30 tkr</t>
  </si>
  <si>
    <t>Skatt och arbetsgivaravgifter</t>
  </si>
  <si>
    <t>Månadslön</t>
  </si>
  <si>
    <t>Semesterersättning</t>
  </si>
  <si>
    <t>Arbetsgivaravgift</t>
  </si>
  <si>
    <t>Försäkring</t>
  </si>
  <si>
    <t>Löneskatt</t>
  </si>
  <si>
    <t>2021B</t>
  </si>
  <si>
    <t>6550 Konsultarvode Kansli etc</t>
  </si>
  <si>
    <t>4031 Talangprogram</t>
  </si>
  <si>
    <t>6410 Okänt</t>
  </si>
  <si>
    <t>7240 Styrelsearvoden, disciplinnämnd, arvoden B0U samt projekt</t>
  </si>
  <si>
    <t>2021 Ulrika 30 tkr</t>
  </si>
  <si>
    <t>3630 Administrativa intäkter (Taekwando)</t>
  </si>
  <si>
    <t>xxxx RF Kartläggning verksamhet för äldre (65+)</t>
  </si>
  <si>
    <t>Balanspost: Ej använda RF medel</t>
  </si>
  <si>
    <t>Reserverade medel från 2020 som måste användas 2021 eller återbetalas</t>
  </si>
  <si>
    <t>Grafisk profil</t>
  </si>
  <si>
    <t>Ev profilprodukter, föredragshållare m.m.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</si>
</sst>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0" fillId="2" borderId="0" xfId="0" applyNumberFormat="1" applyFill="1"/>
    <xf numFmtId="0" fontId="3" fillId="0" borderId="0" xfId="0" applyFont="1"/>
    <xf numFmtId="3" fontId="3" fillId="0" borderId="0" xfId="0" applyNumberFormat="1" applyFont="1"/>
    <xf numFmtId="9" fontId="3" fillId="0" borderId="0" xfId="0" applyNumberFormat="1" applyFont="1"/>
    <xf numFmtId="9" fontId="0" fillId="0" borderId="0" xfId="1" applyFont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3" fillId="0" borderId="0" xfId="0" applyFont="1" applyBorder="1"/>
    <xf numFmtId="164" fontId="0" fillId="0" borderId="0" xfId="0" applyNumberFormat="1"/>
    <xf numFmtId="0" fontId="5" fillId="4" borderId="7" xfId="0" applyFont="1" applyFill="1" applyBorder="1"/>
    <xf numFmtId="164" fontId="0" fillId="4" borderId="8" xfId="0" applyNumberFormat="1" applyFont="1" applyFill="1" applyBorder="1"/>
    <xf numFmtId="164" fontId="0" fillId="4" borderId="9" xfId="0" applyNumberFormat="1" applyFont="1" applyFill="1" applyBorder="1"/>
    <xf numFmtId="0" fontId="4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0" fillId="4" borderId="7" xfId="0" applyFont="1" applyFill="1" applyBorder="1"/>
    <xf numFmtId="0" fontId="0" fillId="0" borderId="7" xfId="0" applyFont="1" applyBorder="1"/>
    <xf numFmtId="164" fontId="0" fillId="0" borderId="8" xfId="0" applyNumberFormat="1" applyFont="1" applyBorder="1"/>
    <xf numFmtId="164" fontId="0" fillId="0" borderId="9" xfId="0" applyNumberFormat="1" applyFont="1" applyBorder="1"/>
    <xf numFmtId="0" fontId="4" fillId="4" borderId="7" xfId="0" applyFont="1" applyFill="1" applyBorder="1"/>
    <xf numFmtId="0" fontId="3" fillId="4" borderId="8" xfId="0" applyFont="1" applyFill="1" applyBorder="1"/>
    <xf numFmtId="0" fontId="3" fillId="4" borderId="9" xfId="0" applyFont="1" applyFill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0" fontId="4" fillId="0" borderId="4" xfId="0" applyFont="1" applyBorder="1"/>
    <xf numFmtId="164" fontId="4" fillId="0" borderId="5" xfId="0" applyNumberFormat="1" applyFont="1" applyBorder="1"/>
    <xf numFmtId="164" fontId="4" fillId="0" borderId="6" xfId="0" applyNumberFormat="1" applyFont="1" applyBorder="1"/>
    <xf numFmtId="0" fontId="4" fillId="0" borderId="8" xfId="0" applyFont="1" applyBorder="1"/>
    <xf numFmtId="0" fontId="0" fillId="4" borderId="8" xfId="0" applyFont="1" applyFill="1" applyBorder="1"/>
    <xf numFmtId="0" fontId="0" fillId="0" borderId="8" xfId="0" applyFont="1" applyBorder="1"/>
    <xf numFmtId="0" fontId="5" fillId="4" borderId="0" xfId="0" applyFont="1" applyFill="1" applyBorder="1"/>
    <xf numFmtId="0" fontId="3" fillId="4" borderId="10" xfId="0" applyFont="1" applyFill="1" applyBorder="1"/>
    <xf numFmtId="164" fontId="3" fillId="4" borderId="0" xfId="0" applyNumberFormat="1" applyFont="1" applyFill="1" applyBorder="1"/>
    <xf numFmtId="164" fontId="3" fillId="4" borderId="11" xfId="0" applyNumberFormat="1" applyFont="1" applyFill="1" applyBorder="1"/>
    <xf numFmtId="0" fontId="4" fillId="4" borderId="0" xfId="0" applyFont="1" applyFill="1" applyBorder="1"/>
    <xf numFmtId="0" fontId="3" fillId="4" borderId="0" xfId="0" applyFont="1" applyFill="1" applyBorder="1"/>
    <xf numFmtId="0" fontId="4" fillId="0" borderId="0" xfId="0" applyFont="1" applyBorder="1"/>
    <xf numFmtId="0" fontId="3" fillId="0" borderId="10" xfId="0" applyFont="1" applyBorder="1"/>
    <xf numFmtId="164" fontId="3" fillId="0" borderId="0" xfId="0" applyNumberFormat="1" applyFont="1" applyBorder="1"/>
    <xf numFmtId="164" fontId="3" fillId="0" borderId="11" xfId="0" applyNumberFormat="1" applyFont="1" applyBorder="1"/>
    <xf numFmtId="164" fontId="0" fillId="5" borderId="8" xfId="0" applyNumberFormat="1" applyFont="1" applyFill="1" applyBorder="1"/>
    <xf numFmtId="0" fontId="3" fillId="0" borderId="1" xfId="0" applyFont="1" applyBorder="1"/>
    <xf numFmtId="3" fontId="3" fillId="0" borderId="2" xfId="0" applyNumberFormat="1" applyFont="1" applyBorder="1"/>
    <xf numFmtId="0" fontId="3" fillId="0" borderId="3" xfId="0" applyFont="1" applyBorder="1"/>
    <xf numFmtId="9" fontId="3" fillId="0" borderId="3" xfId="0" applyNumberFormat="1" applyFont="1" applyBorder="1"/>
    <xf numFmtId="0" fontId="6" fillId="0" borderId="8" xfId="0" applyFont="1" applyBorder="1"/>
    <xf numFmtId="164" fontId="6" fillId="0" borderId="8" xfId="0" applyNumberFormat="1" applyFont="1" applyBorder="1"/>
  </cellXfs>
  <cellStyles count="2">
    <cellStyle name="Normal" xfId="0" builtinId="0"/>
    <cellStyle name="Procent" xfId="1" builtinId="5"/>
  </cellStyles>
  <dxfs count="212">
    <dxf>
      <font>
        <b/>
      </font>
    </dxf>
    <dxf>
      <font>
        <b/>
      </font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  <numFmt numFmtId="3" formatCode="#,##0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solid">
          <fgColor rgb="FFDDEBF7"/>
          <bgColor rgb="FFDDEBF7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#,##0_ ;[Red]\-#,##0\ "/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F2E109E-EE2E-4D05-A669-36A3DB4D1449}" name="Nettoomsättning22" displayName="Nettoomsättning22" ref="A1:H13" totalsRowShown="0" headerRowDxfId="211" dataDxfId="210" tableBorderDxfId="209">
  <autoFilter ref="A1:H13" xr:uid="{F74A8EC3-6254-4E25-83C3-5AB1149787DF}"/>
  <tableColumns count="8">
    <tableColumn id="1" xr3:uid="{57BE45D2-8E1E-4896-9AFE-82F23753B696}" name="Kolumn1" dataDxfId="208"/>
    <tableColumn id="2" xr3:uid="{EC3C2358-046E-491F-B32A-F95BDEC37029}" name="2021B" dataDxfId="207">
      <calculatedColumnFormula>C2+D2+E2+F2+G2+H2</calculatedColumnFormula>
    </tableColumn>
    <tableColumn id="3" xr3:uid="{C022E1B0-1BFE-4649-848B-D331EC5D4211}" name="Fria medel" dataDxfId="206"/>
    <tableColumn id="4" xr3:uid="{C46384B4-209E-49C5-A96C-701F84F20578}" name="BoU" dataDxfId="205"/>
    <tableColumn id="5" xr3:uid="{ACB77EF1-ED94-41B3-A0C9-44C3397CB277}" name="Vuxen" dataDxfId="204"/>
    <tableColumn id="6" xr3:uid="{8EB095FB-CAD4-4059-A7CC-52C4136D45A9}" name="Elit" dataDxfId="203"/>
    <tableColumn id="7" xr3:uid="{92020049-24C0-4057-88F5-315611785130}" name="Proj Internationellt" dataDxfId="202"/>
    <tableColumn id="8" xr3:uid="{564FC89C-3FDE-4DC6-A929-873364EA55DA}" name="Proj Digitalisering" dataDxfId="201"/>
  </tableColumns>
  <tableStyleInfo name="TableStyleMedium2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787EB849-E97F-44BD-858E-29D27239BDC2}" name="Föreningskostnader" displayName="Föreningskostnader" ref="A27:H42" totalsRowShown="0" headerRowDxfId="112" dataDxfId="111" tableBorderDxfId="110">
  <autoFilter ref="A27:H42" xr:uid="{AB95F6B6-68E4-421E-963E-D7425DC73187}"/>
  <tableColumns count="8">
    <tableColumn id="1" xr3:uid="{EB122CFE-6180-4869-9735-F80A75925FC0}" name="Föreningskostnader" dataDxfId="109"/>
    <tableColumn id="2" xr3:uid="{E0E82BD6-079F-427B-93E8-0437C7E4ECB7}" name="2020U" dataDxfId="108">
      <calculatedColumnFormula>C28+D28+E28+F28+G28+H28</calculatedColumnFormula>
    </tableColumn>
    <tableColumn id="3" xr3:uid="{D6EE49C8-1B95-42C6-A675-636CD58DFE8E}" name="Fria medel" dataDxfId="107"/>
    <tableColumn id="4" xr3:uid="{33D057E8-04B9-40BE-8CF5-78D479D5DFEC}" name="BoU" dataDxfId="106"/>
    <tableColumn id="5" xr3:uid="{6D5DD2A6-D71D-49E4-9F35-49CF10A81088}" name="Vuxen" dataDxfId="105"/>
    <tableColumn id="6" xr3:uid="{F5C9ADDE-61AF-4FE4-B58F-72BE82B534B1}" name="Elit" dataDxfId="104"/>
    <tableColumn id="7" xr3:uid="{190F1156-4C3D-49EB-A183-8FDA83525A3D}" name="Proj Internationellt" dataDxfId="103"/>
    <tableColumn id="8" xr3:uid="{A4F3D417-F3EE-4F3C-9CC0-72479FFA4C80}" name="Proj Digitalisering" dataDxfId="102"/>
  </tableColumns>
  <tableStyleInfo name="TableStyleMedium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CA5B7AB-622E-479A-A521-D1AE8A78F448}" name="Tabell19" displayName="Tabell19" ref="A45:H71" totalsRowShown="0" headerRowDxfId="101" dataDxfId="100" tableBorderDxfId="99">
  <autoFilter ref="A45:H71" xr:uid="{8AD1D183-12CB-480C-8D5B-38BAC92C1882}"/>
  <tableColumns count="8">
    <tableColumn id="1" xr3:uid="{6E95ED65-5FAD-4D9A-B674-886B27D9AF0B}" name="Övriga externa kostnader" dataDxfId="98"/>
    <tableColumn id="2" xr3:uid="{DCFF203E-D818-40E1-A27A-7CB9CF030CF8}" name="2020U" dataDxfId="97">
      <calculatedColumnFormula>C46+D46+E46+F46+G46+H46</calculatedColumnFormula>
    </tableColumn>
    <tableColumn id="3" xr3:uid="{BD974722-C03F-4372-96F3-9DEB7C5DEE9D}" name="Fria medel" dataDxfId="96"/>
    <tableColumn id="4" xr3:uid="{00AFBCDF-8EC0-45C8-BB42-9A7C2CA28B1D}" name="BoU" dataDxfId="95"/>
    <tableColumn id="5" xr3:uid="{9EB5FD14-BE6C-4178-99E5-21121261924B}" name="Vuxen" dataDxfId="94"/>
    <tableColumn id="6" xr3:uid="{455F1279-FFF0-47EC-9E58-60E543E352A3}" name="Elit" dataDxfId="93"/>
    <tableColumn id="7" xr3:uid="{000DE639-2C2F-41B9-95A3-2BFBBB9A2422}" name="Proj Internationellt" dataDxfId="92"/>
    <tableColumn id="8" xr3:uid="{1FE87010-4C4C-4AFB-905A-A66080389791}" name="Proj Digitalisering" dataDxfId="91"/>
  </tableColumns>
  <tableStyleInfo name="TableStyleMedium2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5424DE5-1D99-41FB-A37C-C366890989A2}" name="Personalkostnader" displayName="Personalkostnader" ref="A74:H86" totalsRowShown="0" headerRowDxfId="90" dataDxfId="89" tableBorderDxfId="88">
  <autoFilter ref="A74:H86" xr:uid="{34BADB5E-6C93-4F25-9009-6D0F2F124737}"/>
  <tableColumns count="8">
    <tableColumn id="1" xr3:uid="{4AA6FB8F-A964-4137-B43A-097A5D845D8D}" name="Personalkostnader" dataDxfId="87"/>
    <tableColumn id="2" xr3:uid="{95BDA97F-BD67-496C-A647-1C63F1974A14}" name="2020U" dataDxfId="86">
      <calculatedColumnFormula>C75+D75+E75+F75+G75+H75</calculatedColumnFormula>
    </tableColumn>
    <tableColumn id="3" xr3:uid="{C26E878B-4FD0-495B-AD33-D37A0E9B1AF7}" name="Fria medel" dataDxfId="85"/>
    <tableColumn id="4" xr3:uid="{77353B11-45B0-442C-88D4-17926BEBF132}" name="BoU" dataDxfId="84"/>
    <tableColumn id="5" xr3:uid="{641B2722-49D8-4048-AED3-FF180FFFB81F}" name="Vuxen" dataDxfId="83"/>
    <tableColumn id="6" xr3:uid="{7272EBA4-E972-4715-9F42-9957B76926F2}" name="Elit" dataDxfId="82"/>
    <tableColumn id="7" xr3:uid="{0833B54B-574C-48A7-9699-8806092C075E}" name="Proj Internationellt" dataDxfId="81"/>
    <tableColumn id="8" xr3:uid="{4CACC5FF-BA7D-4F8E-A406-01F5068B9E67}" name="Proj Digitalisering" dataDxfId="80"/>
  </tableColumns>
  <tableStyleInfo name="TableStyleLight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2E80BD-5F44-4DEB-836D-DE831D1FE8A7}" name="Tabell11" displayName="Tabell11" ref="A1:O10" totalsRowShown="0">
  <autoFilter ref="A1:O10" xr:uid="{139F0503-9A0F-45F8-A9D7-9ED30ABC33CE}"/>
  <tableColumns count="15">
    <tableColumn id="1" xr3:uid="{062FDF10-EA4C-4C48-91C0-D382CD7DA751}" name="2019"/>
    <tableColumn id="2" xr3:uid="{0A8226A3-CD59-439C-BC9C-264B736E2377}" name="Jan" dataDxfId="79"/>
    <tableColumn id="3" xr3:uid="{DFF43A91-48CC-4212-90B1-AA8CF947E6EC}" name="Feb" dataDxfId="78"/>
    <tableColumn id="4" xr3:uid="{9607576A-401E-452E-BA4B-81C1B4200021}" name="Mar" dataDxfId="77"/>
    <tableColumn id="5" xr3:uid="{8242E452-901C-4066-8700-0A0421ADFCE1}" name="Apr" dataDxfId="76"/>
    <tableColumn id="6" xr3:uid="{266A8D4F-F951-4C1A-ADBD-1983ACF9315E}" name="Maj" dataDxfId="75"/>
    <tableColumn id="7" xr3:uid="{133CA7A8-045F-46DD-B6C2-E5BF1523970D}" name="Jun" dataDxfId="74"/>
    <tableColumn id="8" xr3:uid="{6DA17F49-95D0-4E5E-9DF0-BEA084EA0D71}" name="Jul" dataDxfId="73"/>
    <tableColumn id="9" xr3:uid="{3069866B-8DBC-4A68-8437-B8BB07A4C691}" name="Aug" dataDxfId="72"/>
    <tableColumn id="10" xr3:uid="{55A66FFB-4DC5-42E8-A212-A00B7AD85030}" name="Sep" dataDxfId="71"/>
    <tableColumn id="11" xr3:uid="{1C76BABD-6813-438B-956A-B4A6F82EECF6}" name="Okt" dataDxfId="70"/>
    <tableColumn id="12" xr3:uid="{155F22DB-E1DE-475E-A46C-C1568BE72210}" name="Nov" dataDxfId="69"/>
    <tableColumn id="13" xr3:uid="{7CFFBE39-6FCE-4AA7-8DD2-3F301BF14814}" name="Dec" dataDxfId="68"/>
    <tableColumn id="15" xr3:uid="{C4725B0D-9B06-49BE-8991-332BD834EACA}" name="Årstotal" dataDxfId="67">
      <calculatedColumnFormula>SUM(Tabell11[[#This Row],[Jan]:[Dec]])</calculatedColumnFormula>
    </tableColumn>
    <tableColumn id="14" xr3:uid="{460EB460-AF49-4C19-9B7E-0190F0561D7B}" name="Kommentarer"/>
  </tableColumns>
  <tableStyleInfo name="TableStyleLight14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A1620C-A7AB-4308-99C9-017EC548DA5A}" name="Tabell1113" displayName="Tabell1113" ref="A12:S21" totalsRowShown="0">
  <autoFilter ref="A12:S21" xr:uid="{0E134385-92EC-477B-B10B-B1FF9129DE67}"/>
  <tableColumns count="19">
    <tableColumn id="1" xr3:uid="{73CFB391-DAB4-4006-9664-D1BB6622B95B}" name="2020 GS"/>
    <tableColumn id="2" xr3:uid="{4C029719-4D91-447C-BC42-A11D4DD5C940}" name="Jan" dataDxfId="66"/>
    <tableColumn id="3" xr3:uid="{363CDFCB-4BD5-4BF6-9668-8AC4EA183392}" name="Feb" dataDxfId="65"/>
    <tableColumn id="4" xr3:uid="{EC56D838-EB22-4B4E-9A5C-42D1E924FB1D}" name="Mar" dataDxfId="64"/>
    <tableColumn id="5" xr3:uid="{EC8B2B64-EC87-47C0-A1F5-F40A930B2DC0}" name="Apr" dataDxfId="63"/>
    <tableColumn id="6" xr3:uid="{D7C3DED0-F94E-4DC3-BA5B-788AAF49726E}" name="Maj" dataDxfId="62"/>
    <tableColumn id="7" xr3:uid="{E451C762-446C-47F2-B7D1-3559E62BAE98}" name="Jun" dataDxfId="61"/>
    <tableColumn id="8" xr3:uid="{BF7BA2CE-636F-4201-AAE4-E9C78DB2FAF9}" name="Jul" dataDxfId="60"/>
    <tableColumn id="9" xr3:uid="{A2E89E2E-8AD0-49E1-A526-B1D14D29314F}" name="Aug" dataDxfId="59"/>
    <tableColumn id="10" xr3:uid="{966F7FDA-4B5C-4BAB-8480-20C2EB154B0B}" name="Sep" dataDxfId="58"/>
    <tableColumn id="11" xr3:uid="{917BBE73-6313-4595-88EB-25F9E5B1222F}" name="Okt" dataDxfId="57"/>
    <tableColumn id="12" xr3:uid="{90A1A1FD-F983-4325-A8E0-F89FA18237DA}" name="Nov" dataDxfId="56"/>
    <tableColumn id="13" xr3:uid="{5BFC9ACA-A0D9-4D71-9E43-B68B0A68ACCD}" name="Dec" dataDxfId="55"/>
    <tableColumn id="15" xr3:uid="{E211DC48-C84F-439D-897F-70AAA5398642}" name="Årstotal" dataDxfId="54">
      <calculatedColumnFormula>SUM(Tabell1113[[#This Row],[Jan]:[Dec]])*1.025</calculatedColumnFormula>
    </tableColumn>
    <tableColumn id="14" xr3:uid="{2A928EC7-7886-4870-9A28-888F6F638DE4}" name="Kommentarer"/>
    <tableColumn id="16" xr3:uid="{DDEA3104-E6DD-497E-9D6E-1B6F75A516EC}" name="Kolumn1" dataDxfId="53">
      <calculatedColumnFormula>N13*Q13</calculatedColumnFormula>
    </tableColumn>
    <tableColumn id="17" xr3:uid="{EFAE2C30-503A-49ED-9A65-9622D510A0DC}" name="Kolumn2" dataDxfId="52"/>
    <tableColumn id="18" xr3:uid="{EC7E5123-61B2-40A2-9FB4-2D570C19CFD0}" name="Kolumn3" dataDxfId="51"/>
    <tableColumn id="19" xr3:uid="{9CBD4DA9-ADB2-4AB2-B7B0-BB5364CC1E5F}" name="2021 lön" dataDxfId="50">
      <calculatedColumnFormula>N13*1.025</calculatedColumnFormula>
    </tableColumn>
  </tableColumns>
  <tableStyleInfo name="TableStyleLight1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F04AAAC-5C79-4DDF-BF49-3DE381DA2A6A}" name="Tabell11133" displayName="Tabell11133" ref="A23:S32" totalsRowShown="0">
  <autoFilter ref="A23:S32" xr:uid="{7BBB065D-30C9-4C6A-A215-0911058A7C4A}"/>
  <tableColumns count="19">
    <tableColumn id="1" xr3:uid="{4B024C83-2C0B-4A81-98FE-02D7AC4C1244}" name="2021 GS"/>
    <tableColumn id="2" xr3:uid="{E27EC069-0394-4F43-9062-53381DC905E0}" name="Jan" dataDxfId="49"/>
    <tableColumn id="3" xr3:uid="{D4E0A5D9-D14E-4103-A44C-39220BB684E3}" name="Feb" dataDxfId="48"/>
    <tableColumn id="4" xr3:uid="{BE24934A-3D80-4E17-A340-F3106595F641}" name="Mar" dataDxfId="47"/>
    <tableColumn id="5" xr3:uid="{1A041A63-1C3F-4524-9DB2-866F183F8F68}" name="Apr" dataDxfId="46"/>
    <tableColumn id="6" xr3:uid="{B6A2F3C1-2C34-470F-A03A-AD8612D20DAC}" name="Maj" dataDxfId="45"/>
    <tableColumn id="7" xr3:uid="{16DB3A95-8DC5-4267-AD63-D2EB34CB52EA}" name="Jun" dataDxfId="44"/>
    <tableColumn id="8" xr3:uid="{CF948010-E8A7-473D-8B46-357CA3115140}" name="Jul" dataDxfId="43"/>
    <tableColumn id="9" xr3:uid="{90A7CFA1-5A33-44C5-BA6C-6AE0C0E17714}" name="Aug" dataDxfId="42"/>
    <tableColumn id="10" xr3:uid="{946A8BE9-7FF2-48ED-B20C-F13CA4B78843}" name="Sep" dataDxfId="41"/>
    <tableColumn id="11" xr3:uid="{6735FF59-03BC-4CC6-ABB0-AB1BDC0E7976}" name="Okt" dataDxfId="40"/>
    <tableColumn id="12" xr3:uid="{6FAE623E-441B-4138-AC48-835877AC682E}" name="Nov" dataDxfId="39"/>
    <tableColumn id="13" xr3:uid="{E7EAECC9-CC47-4A43-A2FF-8AA3EF9EC0A2}" name="Dec" dataDxfId="38"/>
    <tableColumn id="15" xr3:uid="{A81D4D7F-317E-4AE4-AE1A-2AB466F04FD2}" name="Årstotal" dataDxfId="37">
      <calculatedColumnFormula>SUM(Tabell11133[[#This Row],[Jan]:[Dec]])*1.035</calculatedColumnFormula>
    </tableColumn>
    <tableColumn id="14" xr3:uid="{93B66C8A-7A8B-4001-82C0-EA361221BBB2}" name="Kommentarer"/>
    <tableColumn id="16" xr3:uid="{3BC5C3D3-DFB2-49F2-A461-735345D9B848}" name="Kolumn1" dataDxfId="36">
      <calculatedColumnFormula>N24*Q24</calculatedColumnFormula>
    </tableColumn>
    <tableColumn id="17" xr3:uid="{20C61248-0A65-4A79-867D-A3BDA99B723E}" name="Kolumn2" dataDxfId="35"/>
    <tableColumn id="18" xr3:uid="{4F7062C3-8E05-4CE1-B958-96206887A878}" name="Kolumn3" dataDxfId="34"/>
    <tableColumn id="19" xr3:uid="{565DE491-B3D3-4E0D-8503-ADC2363348A2}" name="2021 lön" dataDxfId="33">
      <calculatedColumnFormula>N24*1.025</calculatedColumnFormula>
    </tableColumn>
  </tableColumns>
  <tableStyleInfo name="TableStyleLight14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1FC1848-9B82-4713-9CAF-6EEE68FDF533}" name="Tabell111335" displayName="Tabell111335" ref="A35:O42" totalsRowCount="1" headerRowDxfId="32" dataDxfId="31" totalsRowDxfId="30">
  <autoFilter ref="A35:O41" xr:uid="{85B53024-D483-47ED-BFB0-DDD3F8312864}"/>
  <tableColumns count="15">
    <tableColumn id="1" xr3:uid="{E593D27C-4A86-4B63-B282-87267FB9FCC4}" name="2021 Anställd 30 tkr" dataDxfId="29" totalsRowDxfId="28"/>
    <tableColumn id="2" xr3:uid="{29020405-3DFD-42C1-9313-2D1D30F2C730}" name="Jan" totalsRowFunction="custom" dataDxfId="27" totalsRowDxfId="26">
      <totalsRowFormula>B41*0.2</totalsRowFormula>
    </tableColumn>
    <tableColumn id="3" xr3:uid="{8DD520E1-C73A-4267-B10A-C087F55504FC}" name="Feb" totalsRowFunction="custom" dataDxfId="25" totalsRowDxfId="24">
      <totalsRowFormula>C41*0.2</totalsRowFormula>
    </tableColumn>
    <tableColumn id="4" xr3:uid="{4C46FC24-4338-4853-A12A-6580479ED330}" name="Mar" totalsRowFunction="custom" dataDxfId="23" totalsRowDxfId="22">
      <totalsRowFormula>D41*0.2</totalsRowFormula>
    </tableColumn>
    <tableColumn id="5" xr3:uid="{BAD13582-0F1E-4B60-8C4D-D12F5C50C8A0}" name="Apr" totalsRowFunction="custom" dataDxfId="21" totalsRowDxfId="20">
      <totalsRowFormula>E41*0.2</totalsRowFormula>
    </tableColumn>
    <tableColumn id="6" xr3:uid="{547B6069-1D92-4B7F-8902-D300F07C8189}" name="Maj" totalsRowFunction="custom" dataDxfId="19" totalsRowDxfId="18">
      <totalsRowFormula>F41*0.2</totalsRowFormula>
    </tableColumn>
    <tableColumn id="7" xr3:uid="{EE65A862-8D02-4BDB-AB7B-447FB6915695}" name="Jun" totalsRowFunction="custom" dataDxfId="17" totalsRowDxfId="16">
      <totalsRowFormula>G41*0.2</totalsRowFormula>
    </tableColumn>
    <tableColumn id="8" xr3:uid="{2972C98E-D96C-4585-8AD3-55BE845FE4CA}" name="Jul" totalsRowFunction="custom" dataDxfId="15" totalsRowDxfId="14">
      <totalsRowFormula>H41*0.2</totalsRowFormula>
    </tableColumn>
    <tableColumn id="9" xr3:uid="{91FEC430-8298-4223-A043-A4BAA13507A7}" name="Aug" totalsRowFunction="custom" dataDxfId="13" totalsRowDxfId="12">
      <totalsRowFormula>I41*0.2</totalsRowFormula>
    </tableColumn>
    <tableColumn id="10" xr3:uid="{4C8FF302-9DC4-4226-9466-BD531AE9D36E}" name="Sep" totalsRowFunction="custom" dataDxfId="11" totalsRowDxfId="10">
      <totalsRowFormula>J41*0.2</totalsRowFormula>
    </tableColumn>
    <tableColumn id="11" xr3:uid="{DB5B5B96-A79F-4D17-915C-AFFB5ABBA381}" name="Okt" totalsRowFunction="custom" dataDxfId="9" totalsRowDxfId="8">
      <totalsRowFormula>K41*0.2</totalsRowFormula>
    </tableColumn>
    <tableColumn id="12" xr3:uid="{D7D554FC-32EF-49D3-B65E-065B43643AF8}" name="Nov" totalsRowFunction="custom" dataDxfId="7" totalsRowDxfId="6">
      <totalsRowFormula>L41*0.2</totalsRowFormula>
    </tableColumn>
    <tableColumn id="13" xr3:uid="{E78A0456-5182-4A6E-82D6-511674C86241}" name="Dec" totalsRowFunction="custom" dataDxfId="5" totalsRowDxfId="4">
      <totalsRowFormula>M41*0.2</totalsRowFormula>
    </tableColumn>
    <tableColumn id="15" xr3:uid="{D40F854E-633E-4DDD-9638-FBB126F2E62C}" name="Årstotal" totalsRowFunction="custom" dataDxfId="3" totalsRowDxfId="2">
      <calculatedColumnFormula>SUM(Tabell111335[[#This Row],[Jan]:[Dec]])</calculatedColumnFormula>
      <totalsRowFormula>N41*0.2</totalsRowFormula>
    </tableColumn>
    <tableColumn id="14" xr3:uid="{0C827244-BE9C-4153-A206-01A6DA3E32E7}" name="Kommentarer" dataDxfId="1" totalsRowDxfId="0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CA7B78D5-8EBB-4058-88A7-C7C568FE18F3}" name="Medlemsavgifter23" displayName="Medlemsavgifter23" ref="A16:H17" totalsRowShown="0" headerRowDxfId="200" dataDxfId="199" tableBorderDxfId="198">
  <autoFilter ref="A16:H17" xr:uid="{053EFF37-15CF-4942-9D0C-9E7610989C06}"/>
  <tableColumns count="8">
    <tableColumn id="1" xr3:uid="{2A9DDC04-39E2-464C-9E5A-166BA96C8B3A}" name="Medlemsavgifter" dataDxfId="197"/>
    <tableColumn id="2" xr3:uid="{0FC891B2-610B-42AA-ADD4-864BD6354B0F}" name="2021B" dataDxfId="196">
      <calculatedColumnFormula>C17+D17+E17+F17+G17+H17</calculatedColumnFormula>
    </tableColumn>
    <tableColumn id="3" xr3:uid="{E40A6C88-9500-482A-864A-CB76E277F8C2}" name="Fria medel" dataDxfId="195"/>
    <tableColumn id="4" xr3:uid="{2CE1E73C-BD0A-44BD-9611-4A511F999A54}" name="BoU" dataDxfId="194"/>
    <tableColumn id="5" xr3:uid="{473F13E5-218A-4997-A558-E9268FDC4674}" name="Vuxen" dataDxfId="193"/>
    <tableColumn id="6" xr3:uid="{32958478-77D1-4725-9D53-25B37269297F}" name="Elit" dataDxfId="192"/>
    <tableColumn id="7" xr3:uid="{753AADC9-2860-451F-A681-81EC1A0AB109}" name="Proj Internationellt" dataDxfId="191"/>
    <tableColumn id="8" xr3:uid="{9191CCDE-119A-4A01-B082-9E46D2C3C9AE}" name="Proj Digitalisering" dataDxfId="190"/>
  </tableColumns>
  <tableStyleInfo name="TableStyleMedium2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3CA5401-C65B-45DC-9A43-A9D8945F6753}" name="Tabell1724" displayName="Tabell1724" ref="A20:H21" totalsRowShown="0" headerRowDxfId="189" dataDxfId="188" tableBorderDxfId="187">
  <autoFilter ref="A20:H21" xr:uid="{F26D4296-8B77-48B6-94D2-602DC0D7982F}"/>
  <tableColumns count="8">
    <tableColumn id="1" xr3:uid="{F308897B-D473-4EFB-9EE6-F1EAC244FE94}" name="Övriga föreningsintäkter" dataDxfId="186"/>
    <tableColumn id="2" xr3:uid="{7C8612F1-F17D-4698-A95F-C2C48A9A90CE}" name="2021B" dataDxfId="185">
      <calculatedColumnFormula>C21+D21+E21+F21+G21+H21</calculatedColumnFormula>
    </tableColumn>
    <tableColumn id="3" xr3:uid="{5F16903A-DEF9-4AE1-B906-6F190B535C40}" name="Fria medel" dataDxfId="184"/>
    <tableColumn id="4" xr3:uid="{F840B54B-476F-46D6-8BDB-3FD797448393}" name="BoU" dataDxfId="183"/>
    <tableColumn id="5" xr3:uid="{CB00F85C-B961-4E00-9661-B5CBB612FCB3}" name="Vuxen" dataDxfId="182"/>
    <tableColumn id="6" xr3:uid="{F2E4E190-E5F8-44D1-8781-09A96E2894F6}" name="Elit" dataDxfId="181"/>
    <tableColumn id="7" xr3:uid="{607D8A79-AF65-4A1A-BF1A-05C8BE81AE89}" name="Proj Internationellt" dataDxfId="180"/>
    <tableColumn id="8" xr3:uid="{0ECD4807-18B8-45B4-845F-9FCCBDE1850F}" name="Proj Digitalisering" dataDxfId="179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54C7FED4-B8F9-4972-BD2D-A3D444C31BC3}" name="Föreningskostnader25" displayName="Föreningskostnader25" ref="A27:H44" totalsRowShown="0" headerRowDxfId="178" dataDxfId="177" tableBorderDxfId="176">
  <autoFilter ref="A27:H44" xr:uid="{AB95F6B6-68E4-421E-963E-D7425DC73187}"/>
  <tableColumns count="8">
    <tableColumn id="1" xr3:uid="{461265C1-4D9C-46D8-8C08-04913B82C64B}" name="Föreningskostnader" dataDxfId="175"/>
    <tableColumn id="2" xr3:uid="{5CBE56F5-5CB5-4E00-A125-A37DBFDDA3F5}" name="2021B" dataDxfId="174">
      <calculatedColumnFormula>C28+D28+E28+F28+G28+H28</calculatedColumnFormula>
    </tableColumn>
    <tableColumn id="3" xr3:uid="{FFF0FBB4-C5C8-4E5D-96A3-0C4F30FC1813}" name="Fria medel" dataDxfId="173"/>
    <tableColumn id="4" xr3:uid="{9B8BCF03-7E1D-4988-ABAB-AC6F244372CB}" name="BoU" dataDxfId="172"/>
    <tableColumn id="5" xr3:uid="{D3D4B8BB-6799-4BAF-8658-5ED0F87ACDB2}" name="Vuxen" dataDxfId="171"/>
    <tableColumn id="6" xr3:uid="{9F02FDC5-A163-42D6-9BE8-85ED7EB49749}" name="Elit" dataDxfId="170"/>
    <tableColumn id="7" xr3:uid="{CAD56681-3CCB-480E-A452-C4C9202DB38B}" name="Proj Internationellt" dataDxfId="169"/>
    <tableColumn id="8" xr3:uid="{1F45F5B9-9468-42BB-BB37-D93F22799758}" name="Proj Digitalisering" dataDxfId="168"/>
  </tableColumns>
  <tableStyleInfo name="TableStyleMedium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8FAD7436-3DE5-4205-BBB1-3EBA1F805634}" name="Tabell1926" displayName="Tabell1926" ref="A47:H73" totalsRowShown="0" headerRowDxfId="167" dataDxfId="166" tableBorderDxfId="165">
  <autoFilter ref="A47:H73" xr:uid="{8AD1D183-12CB-480C-8D5B-38BAC92C1882}"/>
  <tableColumns count="8">
    <tableColumn id="1" xr3:uid="{21B6F7D5-4D5B-4747-983B-0604242E8D18}" name="Övriga externa kostnader" dataDxfId="164"/>
    <tableColumn id="2" xr3:uid="{80A32832-F077-4769-BCF6-0BE346604149}" name="2021B" dataDxfId="163">
      <calculatedColumnFormula>C48+D48+E48+F48+G48+H48</calculatedColumnFormula>
    </tableColumn>
    <tableColumn id="3" xr3:uid="{FB7D458B-1283-47EA-A204-1B54D740E1AF}" name="Fria medel" dataDxfId="162"/>
    <tableColumn id="4" xr3:uid="{4065BEE6-04CE-4F82-BDA5-355B5ED64CFD}" name="BoU" dataDxfId="161"/>
    <tableColumn id="5" xr3:uid="{474B313B-86C5-479C-8FFC-DFECCE200B7E}" name="Vuxen" dataDxfId="160"/>
    <tableColumn id="6" xr3:uid="{A7242342-0DBD-46D1-BA74-61D3B593B31F}" name="Elit" dataDxfId="159"/>
    <tableColumn id="7" xr3:uid="{7A640735-6564-4142-840F-FE22B37BA7CB}" name="Proj Internationellt" dataDxfId="158"/>
    <tableColumn id="8" xr3:uid="{04DC33A9-B66F-4594-9CA9-F97F32ABDACA}" name="Proj Digitalisering" dataDxfId="157"/>
  </tableColumns>
  <tableStyleInfo name="TableStyleMedium2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1C7B204-933E-49A6-AF5D-A0E66A7005D6}" name="Personalkostnader27" displayName="Personalkostnader27" ref="A76:H88" totalsRowShown="0" headerRowDxfId="156" dataDxfId="155" tableBorderDxfId="154">
  <autoFilter ref="A76:H88" xr:uid="{34BADB5E-6C93-4F25-9009-6D0F2F124737}"/>
  <tableColumns count="8">
    <tableColumn id="1" xr3:uid="{0D6AD961-C726-4185-A010-6EC22283D913}" name="Personalkostnader" dataDxfId="153"/>
    <tableColumn id="2" xr3:uid="{B977CD19-A8E9-4AF7-A7D6-E6457AB79291}" name="2021B" dataDxfId="152">
      <calculatedColumnFormula>C77+D77+E77+F77+G77+H77</calculatedColumnFormula>
    </tableColumn>
    <tableColumn id="3" xr3:uid="{6D9B32F8-346C-41C2-A156-72F8D61BBFDB}" name="Fria medel" dataDxfId="151"/>
    <tableColumn id="4" xr3:uid="{7881F9BE-7B2E-4B98-8316-DCA4D8F17C9E}" name="BoU" dataDxfId="150"/>
    <tableColumn id="5" xr3:uid="{8DE62261-2CC6-47F6-868D-9478E1019C67}" name="Vuxen" dataDxfId="149"/>
    <tableColumn id="6" xr3:uid="{5D581419-F6F5-4B0E-BBF7-E07AE8CFA4F5}" name="Elit" dataDxfId="148"/>
    <tableColumn id="7" xr3:uid="{06D9758C-354C-4BF7-8A36-2C4D45BAE401}" name="Proj Internationellt" dataDxfId="147"/>
    <tableColumn id="8" xr3:uid="{DDB15A15-E7E8-41C0-9699-B7A587611370}" name="Proj Digitalisering" dataDxfId="146"/>
  </tableColumns>
  <tableStyleInfo name="TableStyleLight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386F198-7BEF-42AD-818F-FF2786B5A0AF}" name="Nettoomsättning" displayName="Nettoomsättning" ref="A1:H13" totalsRowShown="0" headerRowDxfId="145" dataDxfId="144" tableBorderDxfId="143">
  <autoFilter ref="A1:H13" xr:uid="{F74A8EC3-6254-4E25-83C3-5AB1149787DF}"/>
  <tableColumns count="8">
    <tableColumn id="1" xr3:uid="{DA3CA935-EE2F-4E31-9F2F-88C2C3F87E51}" name="Intäkter" dataDxfId="142"/>
    <tableColumn id="2" xr3:uid="{5E6B0AE5-1774-4520-8C0F-A0F726547DEB}" name="2020U" dataDxfId="141">
      <calculatedColumnFormula>C2+D2+E2+F2+G2+H2</calculatedColumnFormula>
    </tableColumn>
    <tableColumn id="3" xr3:uid="{5CD68A22-E24F-47EE-8106-DB8E01F38A76}" name="Fria medel" dataDxfId="140"/>
    <tableColumn id="4" xr3:uid="{11F01C79-89D4-4D07-91C9-D52F50F03482}" name="BoU" dataDxfId="139"/>
    <tableColumn id="5" xr3:uid="{13152DA5-0DD5-4097-91AE-D119D42CBF58}" name="Vuxen" dataDxfId="138"/>
    <tableColumn id="6" xr3:uid="{770DA77C-ADDF-4EEC-A484-913AA48EA22B}" name="Elit" dataDxfId="137"/>
    <tableColumn id="7" xr3:uid="{917733A7-8ABC-4A27-8948-411DA53D4188}" name="Proj Internationellt" dataDxfId="136"/>
    <tableColumn id="8" xr3:uid="{62055EBF-F95F-474D-B5E5-8BBFED93CB74}" name="Proj Digitalisering" dataDxfId="135"/>
  </tableColumns>
  <tableStyleInfo name="TableStyleMedium2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838A2BF-288E-4EDE-B4FD-62EC15ED4EAE}" name="Medlemsavgifter" displayName="Medlemsavgifter" ref="A16:H17" totalsRowShown="0" headerRowDxfId="134" dataDxfId="133" tableBorderDxfId="132">
  <autoFilter ref="A16:H17" xr:uid="{053EFF37-15CF-4942-9D0C-9E7610989C06}"/>
  <tableColumns count="8">
    <tableColumn id="1" xr3:uid="{D18D32AE-1904-4816-97FD-B82E27D88C62}" name="Medlemsavgifter" dataDxfId="131"/>
    <tableColumn id="2" xr3:uid="{B319BDC4-6F80-4D5D-919A-86D228302E40}" name="2020U" dataDxfId="130">
      <calculatedColumnFormula>C17+D17+E17+F17+G17+H17</calculatedColumnFormula>
    </tableColumn>
    <tableColumn id="3" xr3:uid="{2D4E96B6-2428-4A6B-8C42-7711B2B2FE99}" name="Fria medel" dataDxfId="129"/>
    <tableColumn id="4" xr3:uid="{219003C4-C7DA-4772-864C-DFB53C18E9E0}" name="BoU" dataDxfId="128"/>
    <tableColumn id="5" xr3:uid="{26C081A5-1E47-441A-AABC-651BA7FF5EF9}" name="Vuxen" dataDxfId="127"/>
    <tableColumn id="6" xr3:uid="{3A449A2C-AAAF-4922-BF35-9C10514211A3}" name="Elit" dataDxfId="126"/>
    <tableColumn id="7" xr3:uid="{5C60A1AC-6DF5-40B1-8F92-95DF66DEDFF7}" name="Proj Internationellt" dataDxfId="125"/>
    <tableColumn id="8" xr3:uid="{BCBB9C52-1A64-4F42-97DB-43959B1108BD}" name="Proj Digitalisering" dataDxfId="124"/>
  </tableColumns>
  <tableStyleInfo name="TableStyleMedium2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C6875FE-8AE5-4B52-B3A9-C3E7A5595EDF}" name="Tabell17" displayName="Tabell17" ref="A20:H21" totalsRowShown="0" headerRowDxfId="123" dataDxfId="122" tableBorderDxfId="121">
  <autoFilter ref="A20:H21" xr:uid="{F26D4296-8B77-48B6-94D2-602DC0D7982F}"/>
  <tableColumns count="8">
    <tableColumn id="1" xr3:uid="{3F3B5A43-21D5-43A9-B3C8-AE191359C328}" name="Övriga föreningsintäkter" dataDxfId="120"/>
    <tableColumn id="2" xr3:uid="{23330FF2-CD4D-4849-8FA5-B867F0E60957}" name="2020U" dataDxfId="119">
      <calculatedColumnFormula>C21+D21+E21+F21+G21+H21</calculatedColumnFormula>
    </tableColumn>
    <tableColumn id="3" xr3:uid="{CBF65B06-0D38-4A80-9127-6978643999EC}" name="Fria medel" dataDxfId="118"/>
    <tableColumn id="4" xr3:uid="{A4CE5739-9BC5-4169-A1E7-45EA97270E9D}" name="BoU" dataDxfId="117"/>
    <tableColumn id="5" xr3:uid="{4E6B2148-5ED2-4987-B688-E748389433B6}" name="Vuxen" dataDxfId="116"/>
    <tableColumn id="6" xr3:uid="{F347B8AF-FD22-4B7D-B70F-80236B4E3E51}" name="Elit" dataDxfId="115"/>
    <tableColumn id="7" xr3:uid="{C047257C-2F0B-4384-8FF6-DA2D1498D782}" name="Proj Internationellt" dataDxfId="114"/>
    <tableColumn id="8" xr3:uid="{7370124A-6FF5-4945-AEB7-A2A821A6982C}" name="Proj Digitalisering" dataDxfId="11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07890-6B87-45FB-BEE1-C4B45362D32E}">
  <dimension ref="A1:S93"/>
  <sheetViews>
    <sheetView tabSelected="1" zoomScale="120" zoomScaleNormal="120" workbookViewId="0">
      <pane ySplit="1" topLeftCell="A8" activePane="bottomLeft" state="frozen"/>
      <selection pane="bottomLeft" activeCell="A44" sqref="A44"/>
    </sheetView>
  </sheetViews>
  <sheetFormatPr defaultRowHeight="15" x14ac:dyDescent="0.25"/>
  <cols>
    <col min="1" max="1" width="56.85546875" customWidth="1"/>
    <col min="2" max="2" width="13.85546875" customWidth="1"/>
    <col min="3" max="3" width="12.7109375" bestFit="1" customWidth="1"/>
    <col min="4" max="6" width="11" customWidth="1"/>
    <col min="7" max="7" width="20.5703125" hidden="1" customWidth="1"/>
    <col min="8" max="8" width="19.140625" bestFit="1" customWidth="1"/>
  </cols>
  <sheetData>
    <row r="1" spans="1:19" ht="18.75" x14ac:dyDescent="0.3">
      <c r="A1" s="33" t="s">
        <v>26</v>
      </c>
      <c r="B1" s="16" t="s">
        <v>130</v>
      </c>
      <c r="C1" s="16" t="s">
        <v>118</v>
      </c>
      <c r="D1" s="16" t="s">
        <v>115</v>
      </c>
      <c r="E1" s="16" t="s">
        <v>116</v>
      </c>
      <c r="F1" s="16" t="s">
        <v>117</v>
      </c>
      <c r="G1" s="16" t="s">
        <v>119</v>
      </c>
      <c r="H1" s="16" t="s">
        <v>120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5.75" x14ac:dyDescent="0.25">
      <c r="A2" s="30" t="s">
        <v>49</v>
      </c>
      <c r="B2" s="16" t="s">
        <v>130</v>
      </c>
      <c r="C2" s="16" t="s">
        <v>118</v>
      </c>
      <c r="D2" s="16" t="s">
        <v>115</v>
      </c>
      <c r="E2" s="16" t="s">
        <v>116</v>
      </c>
      <c r="F2" s="16" t="s">
        <v>117</v>
      </c>
      <c r="G2" s="16" t="s">
        <v>119</v>
      </c>
      <c r="H2" s="16" t="s">
        <v>120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A3" s="31" t="s">
        <v>38</v>
      </c>
      <c r="B3" s="13">
        <f>C3+D3+E3+F3+G3+H3</f>
        <v>2580000</v>
      </c>
      <c r="C3" s="13">
        <v>2580000</v>
      </c>
      <c r="D3" s="13">
        <v>0</v>
      </c>
      <c r="E3" s="13">
        <v>0</v>
      </c>
      <c r="F3" s="13">
        <v>0</v>
      </c>
      <c r="G3" s="13">
        <v>0</v>
      </c>
      <c r="H3" s="13">
        <v>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32" t="s">
        <v>39</v>
      </c>
      <c r="B4" s="20">
        <f t="shared" ref="B4:B11" si="0">C4+D4+E4+F4+G4+H4</f>
        <v>1150000</v>
      </c>
      <c r="C4" s="20"/>
      <c r="D4" s="20">
        <v>1150000</v>
      </c>
      <c r="E4" s="20"/>
      <c r="F4" s="20"/>
      <c r="G4" s="20"/>
      <c r="H4" s="2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x14ac:dyDescent="0.25">
      <c r="A5" s="31" t="s">
        <v>40</v>
      </c>
      <c r="B5" s="13">
        <f t="shared" si="0"/>
        <v>280000</v>
      </c>
      <c r="C5" s="13"/>
      <c r="D5" s="13"/>
      <c r="E5" s="13"/>
      <c r="F5" s="13">
        <v>280000</v>
      </c>
      <c r="G5" s="13"/>
      <c r="H5" s="1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x14ac:dyDescent="0.25">
      <c r="A6" s="32" t="s">
        <v>41</v>
      </c>
      <c r="B6" s="20">
        <f t="shared" si="0"/>
        <v>320000</v>
      </c>
      <c r="C6" s="20"/>
      <c r="D6" s="20"/>
      <c r="E6" s="20">
        <v>320000</v>
      </c>
      <c r="F6" s="20"/>
      <c r="G6" s="20"/>
      <c r="H6" s="2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31" t="s">
        <v>42</v>
      </c>
      <c r="B7" s="13">
        <f t="shared" si="0"/>
        <v>493000</v>
      </c>
      <c r="C7" s="13"/>
      <c r="D7" s="13"/>
      <c r="E7" s="13"/>
      <c r="F7" s="13"/>
      <c r="G7" s="13"/>
      <c r="H7" s="13">
        <v>493000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x14ac:dyDescent="0.25">
      <c r="A8" s="31" t="s">
        <v>137</v>
      </c>
      <c r="B8" s="13">
        <f>C8+D8+E8+F8+G8+H8</f>
        <v>50000</v>
      </c>
      <c r="C8" s="13">
        <v>50000</v>
      </c>
      <c r="D8" s="13"/>
      <c r="E8" s="13"/>
      <c r="F8" s="13"/>
      <c r="G8" s="13"/>
      <c r="H8" s="13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25">
      <c r="A9" s="31" t="s">
        <v>44</v>
      </c>
      <c r="B9" s="13">
        <f t="shared" si="0"/>
        <v>83000</v>
      </c>
      <c r="C9" s="13">
        <v>83000</v>
      </c>
      <c r="D9" s="13"/>
      <c r="E9" s="13"/>
      <c r="F9" s="13"/>
      <c r="G9" s="13"/>
      <c r="H9" s="13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x14ac:dyDescent="0.25">
      <c r="A10" s="32" t="s">
        <v>45</v>
      </c>
      <c r="B10" s="20">
        <f t="shared" si="0"/>
        <v>15000</v>
      </c>
      <c r="C10" s="20">
        <v>15000</v>
      </c>
      <c r="D10" s="20"/>
      <c r="E10" s="20"/>
      <c r="F10" s="20"/>
      <c r="G10" s="20"/>
      <c r="H10" s="2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x14ac:dyDescent="0.25">
      <c r="A11" s="31" t="s">
        <v>46</v>
      </c>
      <c r="B11" s="13">
        <f t="shared" si="0"/>
        <v>25000</v>
      </c>
      <c r="C11" s="13">
        <v>25000</v>
      </c>
      <c r="D11" s="13"/>
      <c r="E11" s="13"/>
      <c r="F11" s="13"/>
      <c r="G11" s="13"/>
      <c r="H11" s="13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25">
      <c r="A12" s="32" t="s">
        <v>136</v>
      </c>
      <c r="B12" s="20">
        <f>C12+D12+E12+F12+G12+H12</f>
        <v>340000</v>
      </c>
      <c r="C12" s="20">
        <v>340000</v>
      </c>
      <c r="D12" s="13"/>
      <c r="E12" s="13"/>
      <c r="F12" s="13"/>
      <c r="G12" s="13"/>
      <c r="H12" s="13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25">
      <c r="A13" s="48" t="s">
        <v>139</v>
      </c>
      <c r="B13" s="49">
        <f>C13+D13+E13+F13+G13+H13</f>
        <v>720000</v>
      </c>
      <c r="C13" s="49"/>
      <c r="D13" s="49">
        <f>'2020'!D13*-1</f>
        <v>250000</v>
      </c>
      <c r="E13" s="49">
        <f>'2020'!E13*-1</f>
        <v>0</v>
      </c>
      <c r="F13" s="49">
        <f>'2020'!F13*-1</f>
        <v>165000</v>
      </c>
      <c r="G13" s="49">
        <f>'2020'!G13*-1</f>
        <v>0</v>
      </c>
      <c r="H13" s="49">
        <f>'2020'!H13*-1</f>
        <v>305000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25">
      <c r="A14" s="34" t="s">
        <v>50</v>
      </c>
      <c r="B14" s="35">
        <f>SUM(B3:B13)</f>
        <v>6056000</v>
      </c>
      <c r="C14" s="35">
        <f>SUM(C3:C13)</f>
        <v>3093000</v>
      </c>
      <c r="D14" s="35">
        <f t="shared" ref="D14:H14" si="1">SUM(D3:D13)</f>
        <v>1400000</v>
      </c>
      <c r="E14" s="35">
        <f t="shared" si="1"/>
        <v>320000</v>
      </c>
      <c r="F14" s="35">
        <f t="shared" si="1"/>
        <v>445000</v>
      </c>
      <c r="G14" s="35">
        <f t="shared" si="1"/>
        <v>0</v>
      </c>
      <c r="H14" s="35">
        <f t="shared" si="1"/>
        <v>798000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25">
      <c r="A15" s="19"/>
      <c r="B15" s="20"/>
      <c r="C15" s="20"/>
      <c r="D15" s="20"/>
      <c r="E15" s="20"/>
      <c r="F15" s="20"/>
      <c r="G15" s="20"/>
      <c r="H15" s="2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5.75" x14ac:dyDescent="0.25">
      <c r="A16" s="37" t="s">
        <v>34</v>
      </c>
      <c r="B16" s="38" t="s">
        <v>130</v>
      </c>
      <c r="C16" s="38" t="s">
        <v>118</v>
      </c>
      <c r="D16" s="38" t="s">
        <v>115</v>
      </c>
      <c r="E16" s="38" t="s">
        <v>116</v>
      </c>
      <c r="F16" s="38" t="s">
        <v>117</v>
      </c>
      <c r="G16" s="38" t="s">
        <v>119</v>
      </c>
      <c r="H16" s="38" t="s">
        <v>120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x14ac:dyDescent="0.25">
      <c r="A17" s="32" t="s">
        <v>51</v>
      </c>
      <c r="B17" s="20">
        <f>C17+D17+E17+F17+G17+H17</f>
        <v>142000</v>
      </c>
      <c r="C17" s="20">
        <v>142000</v>
      </c>
      <c r="D17" s="20"/>
      <c r="E17" s="20"/>
      <c r="F17" s="20"/>
      <c r="G17" s="20"/>
      <c r="H17" s="2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s="34" t="s">
        <v>52</v>
      </c>
      <c r="B18" s="35">
        <f>SUM(B17)</f>
        <v>142000</v>
      </c>
      <c r="C18" s="35">
        <f t="shared" ref="C18:H18" si="2">SUM(C17)</f>
        <v>142000</v>
      </c>
      <c r="D18" s="35">
        <f t="shared" si="2"/>
        <v>0</v>
      </c>
      <c r="E18" s="35">
        <f t="shared" si="2"/>
        <v>0</v>
      </c>
      <c r="F18" s="35">
        <f t="shared" si="2"/>
        <v>0</v>
      </c>
      <c r="G18" s="35">
        <f t="shared" si="2"/>
        <v>0</v>
      </c>
      <c r="H18" s="36">
        <f t="shared" si="2"/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25">
      <c r="A19" s="19"/>
      <c r="B19" s="20"/>
      <c r="C19" s="20"/>
      <c r="D19" s="20"/>
      <c r="E19" s="20"/>
      <c r="F19" s="20"/>
      <c r="G19" s="20"/>
      <c r="H19" s="2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ht="15.75" x14ac:dyDescent="0.25">
      <c r="A20" s="37" t="s">
        <v>53</v>
      </c>
      <c r="B20" s="38" t="s">
        <v>130</v>
      </c>
      <c r="C20" s="38" t="s">
        <v>118</v>
      </c>
      <c r="D20" s="38" t="s">
        <v>115</v>
      </c>
      <c r="E20" s="38" t="s">
        <v>116</v>
      </c>
      <c r="F20" s="38" t="s">
        <v>117</v>
      </c>
      <c r="G20" s="38" t="s">
        <v>119</v>
      </c>
      <c r="H20" s="38" t="s">
        <v>120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25">
      <c r="A21" s="32" t="s">
        <v>54</v>
      </c>
      <c r="B21" s="20">
        <f>C21+D21+E21+F21+G21+H21</f>
        <v>0</v>
      </c>
      <c r="C21" s="20">
        <v>0</v>
      </c>
      <c r="D21" s="20"/>
      <c r="E21" s="20"/>
      <c r="F21" s="20"/>
      <c r="G21" s="20"/>
      <c r="H21" s="2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x14ac:dyDescent="0.25">
      <c r="A22" s="34" t="s">
        <v>55</v>
      </c>
      <c r="B22" s="35">
        <f>SUM(B21)</f>
        <v>0</v>
      </c>
      <c r="C22" s="35">
        <f t="shared" ref="C22:H22" si="3">SUM(C21)</f>
        <v>0</v>
      </c>
      <c r="D22" s="35">
        <f t="shared" si="3"/>
        <v>0</v>
      </c>
      <c r="E22" s="35">
        <f t="shared" si="3"/>
        <v>0</v>
      </c>
      <c r="F22" s="35">
        <f t="shared" si="3"/>
        <v>0</v>
      </c>
      <c r="G22" s="35">
        <f t="shared" si="3"/>
        <v>0</v>
      </c>
      <c r="H22" s="36">
        <f t="shared" si="3"/>
        <v>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25">
      <c r="A23" s="19"/>
      <c r="B23" s="16" t="s">
        <v>130</v>
      </c>
      <c r="C23" s="16" t="s">
        <v>118</v>
      </c>
      <c r="D23" s="16" t="s">
        <v>115</v>
      </c>
      <c r="E23" s="16" t="s">
        <v>116</v>
      </c>
      <c r="F23" s="16" t="s">
        <v>117</v>
      </c>
      <c r="G23" s="16" t="s">
        <v>119</v>
      </c>
      <c r="H23" s="17" t="s">
        <v>120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15.75" x14ac:dyDescent="0.25">
      <c r="A24" s="22" t="s">
        <v>56</v>
      </c>
      <c r="B24" s="13">
        <f>SUM(B22,B18,B14)</f>
        <v>6198000</v>
      </c>
      <c r="C24" s="13">
        <f t="shared" ref="C24:H24" si="4">SUM(C22,C18,C14)</f>
        <v>3235000</v>
      </c>
      <c r="D24" s="13">
        <f t="shared" si="4"/>
        <v>1400000</v>
      </c>
      <c r="E24" s="13">
        <f t="shared" si="4"/>
        <v>320000</v>
      </c>
      <c r="F24" s="13">
        <f t="shared" si="4"/>
        <v>445000</v>
      </c>
      <c r="G24" s="13">
        <f t="shared" si="4"/>
        <v>0</v>
      </c>
      <c r="H24" s="14">
        <f t="shared" si="4"/>
        <v>798000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25">
      <c r="A25" s="19"/>
      <c r="B25" s="20"/>
      <c r="C25" s="20"/>
      <c r="D25" s="20"/>
      <c r="E25" s="20"/>
      <c r="F25" s="20"/>
      <c r="G25" s="20"/>
      <c r="H25" s="2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18.75" x14ac:dyDescent="0.3">
      <c r="A26" s="12" t="s">
        <v>57</v>
      </c>
      <c r="B26" s="13"/>
      <c r="C26" s="13"/>
      <c r="D26" s="13"/>
      <c r="E26" s="13"/>
      <c r="F26" s="13"/>
      <c r="G26" s="13"/>
      <c r="H26" s="14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15.75" x14ac:dyDescent="0.25">
      <c r="A27" s="39" t="s">
        <v>35</v>
      </c>
      <c r="B27" s="10" t="s">
        <v>130</v>
      </c>
      <c r="C27" s="10" t="s">
        <v>118</v>
      </c>
      <c r="D27" s="10" t="s">
        <v>115</v>
      </c>
      <c r="E27" s="10" t="s">
        <v>116</v>
      </c>
      <c r="F27" s="10" t="s">
        <v>117</v>
      </c>
      <c r="G27" s="10" t="s">
        <v>119</v>
      </c>
      <c r="H27" s="10" t="s">
        <v>120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x14ac:dyDescent="0.25">
      <c r="A28" s="31" t="s">
        <v>58</v>
      </c>
      <c r="B28" s="20">
        <f t="shared" ref="B28:B44" si="5">C28+D28+E28+F28+G28+H28</f>
        <v>-390000</v>
      </c>
      <c r="C28" s="13">
        <v>0</v>
      </c>
      <c r="D28" s="13">
        <v>-340000</v>
      </c>
      <c r="E28" s="13">
        <v>-50000</v>
      </c>
      <c r="F28" s="13">
        <v>0</v>
      </c>
      <c r="G28" s="13"/>
      <c r="H28" s="13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x14ac:dyDescent="0.25">
      <c r="A29" s="32" t="s">
        <v>59</v>
      </c>
      <c r="B29" s="20">
        <f t="shared" si="5"/>
        <v>-363000</v>
      </c>
      <c r="C29" s="20">
        <v>-363000</v>
      </c>
      <c r="D29" s="20">
        <v>0</v>
      </c>
      <c r="E29" s="20">
        <v>0</v>
      </c>
      <c r="F29" s="20">
        <v>0</v>
      </c>
      <c r="G29" s="20"/>
      <c r="H29" s="20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x14ac:dyDescent="0.25">
      <c r="A30" s="31" t="s">
        <v>60</v>
      </c>
      <c r="B30" s="13">
        <f t="shared" si="5"/>
        <v>-362672</v>
      </c>
      <c r="C30" s="13">
        <f>-5636-2036</f>
        <v>-7672</v>
      </c>
      <c r="D30" s="13">
        <v>0</v>
      </c>
      <c r="E30" s="13">
        <v>0</v>
      </c>
      <c r="F30" s="13">
        <f>-357036+2036</f>
        <v>-355000</v>
      </c>
      <c r="G30" s="13"/>
      <c r="H30" s="13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x14ac:dyDescent="0.25">
      <c r="A31" s="32" t="s">
        <v>132</v>
      </c>
      <c r="B31" s="20">
        <f t="shared" si="5"/>
        <v>-100000</v>
      </c>
      <c r="C31" s="20"/>
      <c r="D31" s="20">
        <v>-10000</v>
      </c>
      <c r="E31" s="20">
        <v>0</v>
      </c>
      <c r="F31" s="20">
        <v>-90000</v>
      </c>
      <c r="G31" s="20"/>
      <c r="H31" s="2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5">
      <c r="A32" s="31" t="s">
        <v>62</v>
      </c>
      <c r="B32" s="13">
        <f t="shared" si="5"/>
        <v>-50000</v>
      </c>
      <c r="C32" s="13">
        <v>-50000</v>
      </c>
      <c r="D32" s="13">
        <v>0</v>
      </c>
      <c r="E32" s="13">
        <v>0</v>
      </c>
      <c r="F32" s="13">
        <v>0</v>
      </c>
      <c r="G32" s="13"/>
      <c r="H32" s="13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x14ac:dyDescent="0.25">
      <c r="A33" s="32" t="s">
        <v>63</v>
      </c>
      <c r="B33" s="20">
        <f t="shared" si="5"/>
        <v>-390000</v>
      </c>
      <c r="C33" s="20">
        <v>-15000</v>
      </c>
      <c r="D33" s="20">
        <v>-250000</v>
      </c>
      <c r="E33" s="20">
        <v>-125000</v>
      </c>
      <c r="F33" s="20">
        <v>0</v>
      </c>
      <c r="G33" s="20"/>
      <c r="H33" s="2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x14ac:dyDescent="0.25">
      <c r="A34" s="31" t="s">
        <v>64</v>
      </c>
      <c r="B34" s="13">
        <f t="shared" si="5"/>
        <v>-220000</v>
      </c>
      <c r="C34" s="13">
        <v>-220000</v>
      </c>
      <c r="D34" s="13">
        <v>0</v>
      </c>
      <c r="E34" s="13">
        <v>0</v>
      </c>
      <c r="F34" s="13">
        <v>0</v>
      </c>
      <c r="G34" s="13"/>
      <c r="H34" s="13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x14ac:dyDescent="0.25">
      <c r="A35" s="32" t="s">
        <v>65</v>
      </c>
      <c r="B35" s="20">
        <f t="shared" si="5"/>
        <v>-300000</v>
      </c>
      <c r="C35" s="20">
        <v>0</v>
      </c>
      <c r="D35" s="20">
        <v>-100000</v>
      </c>
      <c r="E35" s="20">
        <v>-50000</v>
      </c>
      <c r="F35" s="20">
        <v>0</v>
      </c>
      <c r="G35" s="20"/>
      <c r="H35" s="20">
        <v>-150000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x14ac:dyDescent="0.25">
      <c r="A36" s="31" t="s">
        <v>66</v>
      </c>
      <c r="B36" s="13">
        <f t="shared" si="5"/>
        <v>-138000</v>
      </c>
      <c r="C36" s="13">
        <v>0</v>
      </c>
      <c r="D36" s="13"/>
      <c r="E36" s="13">
        <v>0</v>
      </c>
      <c r="F36" s="13">
        <v>0</v>
      </c>
      <c r="G36" s="13"/>
      <c r="H36" s="13">
        <v>-138000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x14ac:dyDescent="0.25">
      <c r="A37" s="32" t="s">
        <v>67</v>
      </c>
      <c r="B37" s="20">
        <f t="shared" si="5"/>
        <v>-50000</v>
      </c>
      <c r="C37" s="20">
        <v>-50000</v>
      </c>
      <c r="D37" s="20"/>
      <c r="E37" s="20">
        <v>0</v>
      </c>
      <c r="F37" s="20">
        <v>0</v>
      </c>
      <c r="G37" s="20"/>
      <c r="H37" s="20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x14ac:dyDescent="0.25">
      <c r="A38" s="31" t="s">
        <v>68</v>
      </c>
      <c r="B38" s="13">
        <f t="shared" si="5"/>
        <v>-108000</v>
      </c>
      <c r="C38" s="13">
        <v>-108000</v>
      </c>
      <c r="D38" s="13">
        <v>0</v>
      </c>
      <c r="E38" s="13">
        <v>0</v>
      </c>
      <c r="F38" s="13">
        <v>0</v>
      </c>
      <c r="G38" s="13"/>
      <c r="H38" s="13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x14ac:dyDescent="0.25">
      <c r="A39" s="32" t="s">
        <v>69</v>
      </c>
      <c r="B39" s="20">
        <f t="shared" si="5"/>
        <v>-15000</v>
      </c>
      <c r="C39" s="20">
        <v>-15000</v>
      </c>
      <c r="D39" s="20"/>
      <c r="E39" s="20">
        <v>0</v>
      </c>
      <c r="F39" s="20">
        <v>0</v>
      </c>
      <c r="G39" s="20"/>
      <c r="H39" s="2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x14ac:dyDescent="0.25">
      <c r="A40" s="31" t="s">
        <v>70</v>
      </c>
      <c r="B40" s="13">
        <f t="shared" si="5"/>
        <v>-60000</v>
      </c>
      <c r="C40" s="13">
        <v>-50000</v>
      </c>
      <c r="D40" s="13">
        <v>-10000</v>
      </c>
      <c r="E40" s="13">
        <v>0</v>
      </c>
      <c r="F40" s="13">
        <v>0</v>
      </c>
      <c r="G40" s="13"/>
      <c r="H40" s="13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x14ac:dyDescent="0.25">
      <c r="A41" s="32" t="s">
        <v>71</v>
      </c>
      <c r="B41" s="20">
        <f t="shared" si="5"/>
        <v>-10000</v>
      </c>
      <c r="C41" s="20">
        <v>0</v>
      </c>
      <c r="D41" s="20">
        <v>-10000</v>
      </c>
      <c r="E41" s="20">
        <v>0</v>
      </c>
      <c r="F41" s="20">
        <v>0</v>
      </c>
      <c r="G41" s="20"/>
      <c r="H41" s="2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x14ac:dyDescent="0.25">
      <c r="A42" s="31" t="s">
        <v>72</v>
      </c>
      <c r="B42" s="13">
        <f t="shared" si="5"/>
        <v>-25000</v>
      </c>
      <c r="C42" s="13">
        <v>-25000</v>
      </c>
      <c r="D42" s="13"/>
      <c r="E42" s="13">
        <v>0</v>
      </c>
      <c r="F42" s="13">
        <v>0</v>
      </c>
      <c r="G42" s="13"/>
      <c r="H42" s="13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x14ac:dyDescent="0.25">
      <c r="A43" s="31" t="s">
        <v>140</v>
      </c>
      <c r="B43" s="13">
        <f t="shared" ref="B43" si="6">C43+D43+E43+F43+G43+H43</f>
        <v>-150000</v>
      </c>
      <c r="C43" s="13">
        <v>-150000</v>
      </c>
      <c r="D43" s="13"/>
      <c r="E43" s="13"/>
      <c r="F43" s="13"/>
      <c r="G43" s="13"/>
      <c r="H43" s="13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x14ac:dyDescent="0.25">
      <c r="A44" s="31" t="s">
        <v>141</v>
      </c>
      <c r="B44" s="13">
        <f t="shared" si="5"/>
        <v>-89000</v>
      </c>
      <c r="C44" s="13">
        <v>-50000</v>
      </c>
      <c r="D44" s="13">
        <v>-39000</v>
      </c>
      <c r="E44" s="13">
        <v>0</v>
      </c>
      <c r="F44" s="13"/>
      <c r="G44" s="13"/>
      <c r="H44" s="13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x14ac:dyDescent="0.25">
      <c r="A45" s="40" t="s">
        <v>73</v>
      </c>
      <c r="B45" s="41">
        <f>SUM(B26:B44)</f>
        <v>-2820672</v>
      </c>
      <c r="C45" s="41">
        <f>SUM(C26:C44)</f>
        <v>-1103672</v>
      </c>
      <c r="D45" s="41">
        <f>SUM(D26:D44)</f>
        <v>-759000</v>
      </c>
      <c r="E45" s="41">
        <f>SUM(E26:E44)</f>
        <v>-225000</v>
      </c>
      <c r="F45" s="41">
        <f>SUM(F26:F44)</f>
        <v>-445000</v>
      </c>
      <c r="G45" s="41">
        <f t="shared" ref="G45" si="7">SUM(G26:G42)</f>
        <v>0</v>
      </c>
      <c r="H45" s="42">
        <f>SUM(H26:H44)</f>
        <v>-288000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x14ac:dyDescent="0.25">
      <c r="A46" s="18"/>
      <c r="B46" s="13"/>
      <c r="C46" s="13"/>
      <c r="D46" s="13"/>
      <c r="E46" s="13"/>
      <c r="F46" s="13"/>
      <c r="G46" s="13"/>
      <c r="H46" s="14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ht="15.75" x14ac:dyDescent="0.25">
      <c r="A47" s="39" t="s">
        <v>36</v>
      </c>
      <c r="B47" s="10" t="s">
        <v>130</v>
      </c>
      <c r="C47" s="10" t="s">
        <v>118</v>
      </c>
      <c r="D47" s="10" t="s">
        <v>115</v>
      </c>
      <c r="E47" s="10" t="s">
        <v>116</v>
      </c>
      <c r="F47" s="10" t="s">
        <v>117</v>
      </c>
      <c r="G47" s="10" t="s">
        <v>119</v>
      </c>
      <c r="H47" s="10" t="s">
        <v>120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x14ac:dyDescent="0.25">
      <c r="A48" s="31" t="s">
        <v>74</v>
      </c>
      <c r="B48" s="13">
        <f t="shared" ref="B48:B73" si="8">C48+D48+E48+F48+G48+H48</f>
        <v>-130000</v>
      </c>
      <c r="C48" s="13">
        <f>-130000</f>
        <v>-130000</v>
      </c>
      <c r="D48" s="13">
        <v>0</v>
      </c>
      <c r="E48" s="13"/>
      <c r="F48" s="13"/>
      <c r="G48" s="13"/>
      <c r="H48" s="13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x14ac:dyDescent="0.25">
      <c r="A49" s="32" t="s">
        <v>75</v>
      </c>
      <c r="B49" s="20">
        <f t="shared" si="8"/>
        <v>-35000</v>
      </c>
      <c r="C49" s="20">
        <f>-35000</f>
        <v>-35000</v>
      </c>
      <c r="D49" s="20">
        <v>0</v>
      </c>
      <c r="E49" s="20"/>
      <c r="F49" s="20"/>
      <c r="G49" s="20"/>
      <c r="H49" s="2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x14ac:dyDescent="0.25">
      <c r="A50" s="31" t="s">
        <v>76</v>
      </c>
      <c r="B50" s="13">
        <f t="shared" si="8"/>
        <v>-15000</v>
      </c>
      <c r="C50" s="13">
        <f>-15000</f>
        <v>-15000</v>
      </c>
      <c r="D50" s="13">
        <v>0</v>
      </c>
      <c r="E50" s="13"/>
      <c r="F50" s="13"/>
      <c r="G50" s="13"/>
      <c r="H50" s="13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x14ac:dyDescent="0.25">
      <c r="A51" s="32" t="s">
        <v>77</v>
      </c>
      <c r="B51" s="20">
        <f t="shared" si="8"/>
        <v>-5500</v>
      </c>
      <c r="C51" s="20">
        <v>-5500</v>
      </c>
      <c r="D51" s="20">
        <v>0</v>
      </c>
      <c r="E51" s="20"/>
      <c r="F51" s="20"/>
      <c r="G51" s="20"/>
      <c r="H51" s="2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x14ac:dyDescent="0.25">
      <c r="A52" s="31" t="s">
        <v>78</v>
      </c>
      <c r="B52" s="13">
        <f t="shared" si="8"/>
        <v>-219500</v>
      </c>
      <c r="C52" s="13">
        <v>-200000</v>
      </c>
      <c r="D52" s="13">
        <v>0</v>
      </c>
      <c r="E52" s="13">
        <v>-19500</v>
      </c>
      <c r="F52" s="13"/>
      <c r="G52" s="13"/>
      <c r="H52" s="13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x14ac:dyDescent="0.25">
      <c r="A53" s="32" t="s">
        <v>79</v>
      </c>
      <c r="B53" s="20">
        <f t="shared" si="8"/>
        <v>-50000</v>
      </c>
      <c r="C53" s="20">
        <v>0</v>
      </c>
      <c r="D53" s="20">
        <v>-50000</v>
      </c>
      <c r="E53" s="20"/>
      <c r="F53" s="20"/>
      <c r="G53" s="20"/>
      <c r="H53" s="2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x14ac:dyDescent="0.25">
      <c r="A54" s="31" t="s">
        <v>80</v>
      </c>
      <c r="B54" s="13">
        <f t="shared" si="8"/>
        <v>-205000</v>
      </c>
      <c r="C54" s="13">
        <v>0</v>
      </c>
      <c r="D54" s="13">
        <v>0</v>
      </c>
      <c r="E54" s="13"/>
      <c r="F54" s="13"/>
      <c r="G54" s="13"/>
      <c r="H54" s="13">
        <v>-205000</v>
      </c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x14ac:dyDescent="0.25">
      <c r="A55" s="32" t="s">
        <v>81</v>
      </c>
      <c r="B55" s="20">
        <f t="shared" si="8"/>
        <v>-10000</v>
      </c>
      <c r="C55" s="20">
        <v>0</v>
      </c>
      <c r="D55" s="20">
        <v>-10000</v>
      </c>
      <c r="E55" s="20"/>
      <c r="F55" s="20"/>
      <c r="G55" s="20"/>
      <c r="H55" s="2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x14ac:dyDescent="0.25">
      <c r="A56" s="31" t="s">
        <v>82</v>
      </c>
      <c r="B56" s="13">
        <f t="shared" si="8"/>
        <v>-2500</v>
      </c>
      <c r="C56" s="13">
        <v>-2500</v>
      </c>
      <c r="D56" s="13">
        <v>0</v>
      </c>
      <c r="E56" s="13"/>
      <c r="F56" s="13"/>
      <c r="G56" s="13"/>
      <c r="H56" s="13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x14ac:dyDescent="0.25">
      <c r="A57" s="32" t="s">
        <v>83</v>
      </c>
      <c r="B57" s="20">
        <f t="shared" si="8"/>
        <v>-8000</v>
      </c>
      <c r="C57" s="20">
        <v>-8000</v>
      </c>
      <c r="D57" s="20">
        <v>0</v>
      </c>
      <c r="E57" s="20"/>
      <c r="F57" s="20"/>
      <c r="G57" s="20"/>
      <c r="H57" s="2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x14ac:dyDescent="0.25">
      <c r="A58" s="31" t="s">
        <v>84</v>
      </c>
      <c r="B58" s="13">
        <f t="shared" si="8"/>
        <v>-3000</v>
      </c>
      <c r="C58" s="13">
        <v>-3000</v>
      </c>
      <c r="D58" s="13">
        <v>0</v>
      </c>
      <c r="E58" s="13"/>
      <c r="F58" s="13"/>
      <c r="G58" s="13"/>
      <c r="H58" s="13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x14ac:dyDescent="0.25">
      <c r="A59" s="32" t="s">
        <v>85</v>
      </c>
      <c r="B59" s="20">
        <f t="shared" si="8"/>
        <v>-11000</v>
      </c>
      <c r="C59" s="20">
        <v>-11000</v>
      </c>
      <c r="D59" s="20">
        <v>0</v>
      </c>
      <c r="E59" s="20"/>
      <c r="F59" s="20"/>
      <c r="G59" s="20"/>
      <c r="H59" s="20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x14ac:dyDescent="0.25">
      <c r="A60" s="31" t="s">
        <v>86</v>
      </c>
      <c r="B60" s="13">
        <f t="shared" si="8"/>
        <v>-10000</v>
      </c>
      <c r="C60" s="13">
        <v>-10000</v>
      </c>
      <c r="D60" s="13">
        <v>0</v>
      </c>
      <c r="E60" s="13"/>
      <c r="F60" s="13"/>
      <c r="G60" s="13"/>
      <c r="H60" s="13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x14ac:dyDescent="0.25">
      <c r="A61" s="32" t="s">
        <v>87</v>
      </c>
      <c r="B61" s="20">
        <f t="shared" si="8"/>
        <v>-16000</v>
      </c>
      <c r="C61" s="20">
        <v>-16000</v>
      </c>
      <c r="D61" s="20">
        <v>0</v>
      </c>
      <c r="E61" s="20"/>
      <c r="F61" s="20"/>
      <c r="G61" s="20"/>
      <c r="H61" s="2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x14ac:dyDescent="0.25">
      <c r="A62" s="31" t="s">
        <v>88</v>
      </c>
      <c r="B62" s="13">
        <f t="shared" si="8"/>
        <v>0</v>
      </c>
      <c r="C62" s="13">
        <v>0</v>
      </c>
      <c r="D62" s="13">
        <v>0</v>
      </c>
      <c r="E62" s="13"/>
      <c r="F62" s="13"/>
      <c r="G62" s="13"/>
      <c r="H62" s="13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x14ac:dyDescent="0.25">
      <c r="A63" s="32" t="s">
        <v>133</v>
      </c>
      <c r="B63" s="20">
        <f t="shared" si="8"/>
        <v>0</v>
      </c>
      <c r="C63" s="20">
        <v>0</v>
      </c>
      <c r="D63" s="20">
        <v>0</v>
      </c>
      <c r="E63" s="20"/>
      <c r="F63" s="20"/>
      <c r="G63" s="20"/>
      <c r="H63" s="2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x14ac:dyDescent="0.25">
      <c r="A64" s="31" t="s">
        <v>90</v>
      </c>
      <c r="B64" s="13">
        <f t="shared" si="8"/>
        <v>-38000</v>
      </c>
      <c r="C64" s="13">
        <v>-38000</v>
      </c>
      <c r="D64" s="13">
        <v>0</v>
      </c>
      <c r="E64" s="13"/>
      <c r="F64" s="13"/>
      <c r="G64" s="13"/>
      <c r="H64" s="13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x14ac:dyDescent="0.25">
      <c r="A65" s="32" t="s">
        <v>91</v>
      </c>
      <c r="B65" s="20">
        <f t="shared" si="8"/>
        <v>-25000</v>
      </c>
      <c r="C65" s="20">
        <v>-25000</v>
      </c>
      <c r="D65" s="20">
        <v>0</v>
      </c>
      <c r="E65" s="20"/>
      <c r="F65" s="20"/>
      <c r="G65" s="20"/>
      <c r="H65" s="2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 x14ac:dyDescent="0.25">
      <c r="A66" s="31" t="s">
        <v>92</v>
      </c>
      <c r="B66" s="13">
        <f t="shared" si="8"/>
        <v>-94169</v>
      </c>
      <c r="C66" s="13">
        <f>-70000+35831</f>
        <v>-34169</v>
      </c>
      <c r="D66" s="13">
        <v>-25000</v>
      </c>
      <c r="E66" s="13"/>
      <c r="F66" s="13"/>
      <c r="G66" s="13"/>
      <c r="H66" s="13">
        <v>-35000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x14ac:dyDescent="0.25">
      <c r="A67" s="32" t="s">
        <v>131</v>
      </c>
      <c r="B67" s="20">
        <f t="shared" si="8"/>
        <v>-150000</v>
      </c>
      <c r="C67" s="20">
        <v>-150000</v>
      </c>
      <c r="D67" s="20">
        <v>0</v>
      </c>
      <c r="E67" s="20"/>
      <c r="F67" s="20"/>
      <c r="G67" s="20"/>
      <c r="H67" s="20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x14ac:dyDescent="0.25">
      <c r="A68" s="31" t="s">
        <v>94</v>
      </c>
      <c r="B68" s="13">
        <f t="shared" si="8"/>
        <v>-2500</v>
      </c>
      <c r="C68" s="13">
        <v>-2500</v>
      </c>
      <c r="D68" s="13">
        <v>0</v>
      </c>
      <c r="E68" s="13"/>
      <c r="F68" s="13"/>
      <c r="G68" s="13"/>
      <c r="H68" s="13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x14ac:dyDescent="0.25">
      <c r="A69" s="32" t="s">
        <v>95</v>
      </c>
      <c r="B69" s="20">
        <f t="shared" si="8"/>
        <v>-10000</v>
      </c>
      <c r="C69" s="20">
        <v>-5000</v>
      </c>
      <c r="D69" s="20">
        <v>-5000</v>
      </c>
      <c r="E69" s="20"/>
      <c r="F69" s="20"/>
      <c r="G69" s="20"/>
      <c r="H69" s="20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x14ac:dyDescent="0.25">
      <c r="A70" s="31" t="s">
        <v>96</v>
      </c>
      <c r="B70" s="13">
        <f t="shared" si="8"/>
        <v>-5000</v>
      </c>
      <c r="C70" s="13">
        <v>-5000</v>
      </c>
      <c r="D70" s="13">
        <v>0</v>
      </c>
      <c r="E70" s="13"/>
      <c r="F70" s="13"/>
      <c r="G70" s="13"/>
      <c r="H70" s="13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 x14ac:dyDescent="0.25">
      <c r="A71" s="32" t="s">
        <v>97</v>
      </c>
      <c r="B71" s="20">
        <f t="shared" si="8"/>
        <v>-350000</v>
      </c>
      <c r="C71" s="20">
        <v>-350000</v>
      </c>
      <c r="D71" s="20">
        <v>0</v>
      </c>
      <c r="E71" s="20"/>
      <c r="F71" s="20"/>
      <c r="G71" s="20"/>
      <c r="H71" s="20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 x14ac:dyDescent="0.25">
      <c r="A72" s="31" t="s">
        <v>98</v>
      </c>
      <c r="B72" s="13">
        <f t="shared" si="8"/>
        <v>-88000</v>
      </c>
      <c r="C72" s="13">
        <v>-88000</v>
      </c>
      <c r="D72" s="13">
        <v>0</v>
      </c>
      <c r="E72" s="13"/>
      <c r="F72" s="13"/>
      <c r="G72" s="13"/>
      <c r="H72" s="13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19" x14ac:dyDescent="0.25">
      <c r="A73" s="32" t="s">
        <v>99</v>
      </c>
      <c r="B73" s="20">
        <f t="shared" si="8"/>
        <v>-500</v>
      </c>
      <c r="C73" s="20">
        <v>-500</v>
      </c>
      <c r="D73" s="20">
        <v>0</v>
      </c>
      <c r="E73" s="20"/>
      <c r="F73" s="20"/>
      <c r="G73" s="20"/>
      <c r="H73" s="20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 x14ac:dyDescent="0.25">
      <c r="A74" s="34" t="s">
        <v>100</v>
      </c>
      <c r="B74" s="35">
        <f>SUM(B48:B73)</f>
        <v>-1483669</v>
      </c>
      <c r="C74" s="35">
        <f t="shared" ref="C74:H74" si="9">SUM(C48:C73)</f>
        <v>-1134169</v>
      </c>
      <c r="D74" s="35">
        <f t="shared" si="9"/>
        <v>-90000</v>
      </c>
      <c r="E74" s="35">
        <f t="shared" si="9"/>
        <v>-19500</v>
      </c>
      <c r="F74" s="35">
        <f t="shared" si="9"/>
        <v>0</v>
      </c>
      <c r="G74" s="35">
        <v>0</v>
      </c>
      <c r="H74" s="36">
        <f t="shared" si="9"/>
        <v>-240000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19" x14ac:dyDescent="0.25">
      <c r="A75" s="19"/>
      <c r="B75" s="20"/>
      <c r="C75" s="20"/>
      <c r="D75" s="20"/>
      <c r="E75" s="20"/>
      <c r="F75" s="20"/>
      <c r="G75" s="20"/>
      <c r="H75" s="2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5.75" x14ac:dyDescent="0.25">
      <c r="A76" s="37" t="s">
        <v>37</v>
      </c>
      <c r="B76" s="38" t="s">
        <v>130</v>
      </c>
      <c r="C76" s="38" t="s">
        <v>118</v>
      </c>
      <c r="D76" s="38" t="s">
        <v>115</v>
      </c>
      <c r="E76" s="38" t="s">
        <v>116</v>
      </c>
      <c r="F76" s="38" t="s">
        <v>117</v>
      </c>
      <c r="G76" s="38" t="s">
        <v>119</v>
      </c>
      <c r="H76" s="38" t="s">
        <v>120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x14ac:dyDescent="0.25">
      <c r="A77" s="32" t="s">
        <v>101</v>
      </c>
      <c r="B77" s="20">
        <f t="shared" ref="B77:B88" si="10">C77+D77+E77+F77+G77+H77</f>
        <v>-1100000</v>
      </c>
      <c r="C77" s="20">
        <v>-1100000</v>
      </c>
      <c r="D77" s="20">
        <v>0</v>
      </c>
      <c r="E77" s="20"/>
      <c r="F77" s="20"/>
      <c r="G77" s="20"/>
      <c r="H77" s="2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x14ac:dyDescent="0.25">
      <c r="A78" s="31" t="s">
        <v>122</v>
      </c>
      <c r="B78" s="43">
        <f>D78+E78+F78+G78+H78</f>
        <v>-781500</v>
      </c>
      <c r="C78" s="13">
        <f>-1*(D78+E78+F78+G78+H78)</f>
        <v>781500</v>
      </c>
      <c r="D78" s="13">
        <v>-481000</v>
      </c>
      <c r="E78" s="13">
        <v>-75500</v>
      </c>
      <c r="F78" s="13">
        <v>0</v>
      </c>
      <c r="G78" s="13"/>
      <c r="H78" s="13">
        <v>-225000</v>
      </c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x14ac:dyDescent="0.25">
      <c r="A79" s="32" t="s">
        <v>134</v>
      </c>
      <c r="B79" s="20">
        <f t="shared" si="10"/>
        <v>-136000</v>
      </c>
      <c r="C79" s="20">
        <v>-61000</v>
      </c>
      <c r="D79" s="20">
        <v>-50000</v>
      </c>
      <c r="E79" s="20"/>
      <c r="F79" s="20"/>
      <c r="G79" s="20"/>
      <c r="H79" s="20">
        <v>-25000</v>
      </c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x14ac:dyDescent="0.25">
      <c r="A80" s="31" t="s">
        <v>103</v>
      </c>
      <c r="B80" s="13">
        <f t="shared" si="10"/>
        <v>0</v>
      </c>
      <c r="C80" s="13">
        <v>0</v>
      </c>
      <c r="D80" s="13">
        <v>0</v>
      </c>
      <c r="E80" s="13"/>
      <c r="F80" s="13"/>
      <c r="G80" s="13"/>
      <c r="H80" s="13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x14ac:dyDescent="0.25">
      <c r="A81" s="32" t="s">
        <v>104</v>
      </c>
      <c r="B81" s="20">
        <f t="shared" si="10"/>
        <v>-42000</v>
      </c>
      <c r="C81" s="20">
        <v>-42000</v>
      </c>
      <c r="D81" s="20">
        <v>0</v>
      </c>
      <c r="E81" s="20"/>
      <c r="F81" s="20"/>
      <c r="G81" s="20"/>
      <c r="H81" s="20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x14ac:dyDescent="0.25">
      <c r="A82" s="31" t="s">
        <v>105</v>
      </c>
      <c r="B82" s="13">
        <f t="shared" si="10"/>
        <v>-25000</v>
      </c>
      <c r="C82" s="13">
        <v>-5000</v>
      </c>
      <c r="D82" s="13">
        <v>-10000</v>
      </c>
      <c r="E82" s="13"/>
      <c r="F82" s="13"/>
      <c r="G82" s="13"/>
      <c r="H82" s="13">
        <v>-10000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x14ac:dyDescent="0.25">
      <c r="A83" s="32" t="s">
        <v>106</v>
      </c>
      <c r="B83" s="20">
        <f t="shared" si="10"/>
        <v>-25000</v>
      </c>
      <c r="C83" s="20">
        <v>-5000</v>
      </c>
      <c r="D83" s="20">
        <v>-10000</v>
      </c>
      <c r="E83" s="20"/>
      <c r="F83" s="20"/>
      <c r="G83" s="20"/>
      <c r="H83" s="20">
        <v>-10000</v>
      </c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x14ac:dyDescent="0.25">
      <c r="A84" s="31" t="s">
        <v>107</v>
      </c>
      <c r="B84" s="13">
        <f t="shared" si="10"/>
        <v>-310000</v>
      </c>
      <c r="C84" s="13">
        <f>-310000</f>
        <v>-310000</v>
      </c>
      <c r="D84" s="13">
        <v>0</v>
      </c>
      <c r="E84" s="13"/>
      <c r="F84" s="13"/>
      <c r="G84" s="13"/>
      <c r="H84" s="13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x14ac:dyDescent="0.25">
      <c r="A85" s="32" t="s">
        <v>108</v>
      </c>
      <c r="B85" s="20">
        <f t="shared" si="10"/>
        <v>0</v>
      </c>
      <c r="C85" s="20">
        <v>0</v>
      </c>
      <c r="D85" s="20">
        <v>0</v>
      </c>
      <c r="E85" s="20"/>
      <c r="F85" s="20"/>
      <c r="G85" s="20"/>
      <c r="H85" s="20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x14ac:dyDescent="0.25">
      <c r="A86" s="31" t="s">
        <v>109</v>
      </c>
      <c r="B86" s="13">
        <f t="shared" si="10"/>
        <v>-195000</v>
      </c>
      <c r="C86" s="13">
        <v>-195000</v>
      </c>
      <c r="D86" s="13">
        <v>0</v>
      </c>
      <c r="E86" s="13"/>
      <c r="F86" s="13"/>
      <c r="G86" s="13"/>
      <c r="H86" s="13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x14ac:dyDescent="0.25">
      <c r="A87" s="32" t="s">
        <v>110</v>
      </c>
      <c r="B87" s="20">
        <f t="shared" si="10"/>
        <v>-10000</v>
      </c>
      <c r="C87" s="20">
        <v>-10000</v>
      </c>
      <c r="D87" s="20">
        <v>0</v>
      </c>
      <c r="E87" s="20"/>
      <c r="F87" s="20"/>
      <c r="G87" s="20"/>
      <c r="H87" s="20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x14ac:dyDescent="0.25">
      <c r="A88" s="31" t="s">
        <v>111</v>
      </c>
      <c r="B88" s="13">
        <f t="shared" si="10"/>
        <v>-9000</v>
      </c>
      <c r="C88" s="13">
        <v>-9000</v>
      </c>
      <c r="D88" s="13">
        <v>0</v>
      </c>
      <c r="E88" s="13"/>
      <c r="F88" s="13"/>
      <c r="G88" s="13"/>
      <c r="H88" s="13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x14ac:dyDescent="0.25">
      <c r="A89" s="40" t="s">
        <v>112</v>
      </c>
      <c r="B89" s="41">
        <f>SUM(B77:B88)+C78</f>
        <v>-1852000</v>
      </c>
      <c r="C89" s="41">
        <f t="shared" ref="C89:H89" si="11">SUM(C77:C88)</f>
        <v>-955500</v>
      </c>
      <c r="D89" s="41">
        <f t="shared" si="11"/>
        <v>-551000</v>
      </c>
      <c r="E89" s="41">
        <f t="shared" si="11"/>
        <v>-75500</v>
      </c>
      <c r="F89" s="41">
        <f t="shared" si="11"/>
        <v>0</v>
      </c>
      <c r="G89" s="41">
        <f t="shared" si="11"/>
        <v>0</v>
      </c>
      <c r="H89" s="42">
        <f t="shared" si="11"/>
        <v>-270000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x14ac:dyDescent="0.25">
      <c r="A90" s="18"/>
      <c r="B90" s="23" t="s">
        <v>130</v>
      </c>
      <c r="C90" s="23" t="s">
        <v>118</v>
      </c>
      <c r="D90" s="23" t="s">
        <v>115</v>
      </c>
      <c r="E90" s="23" t="s">
        <v>116</v>
      </c>
      <c r="F90" s="23" t="s">
        <v>117</v>
      </c>
      <c r="G90" s="23" t="s">
        <v>119</v>
      </c>
      <c r="H90" s="24" t="s">
        <v>120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ht="15.75" x14ac:dyDescent="0.25">
      <c r="A91" s="15" t="s">
        <v>113</v>
      </c>
      <c r="B91" s="25">
        <f>SUM(B89,B74,B45)</f>
        <v>-6156341</v>
      </c>
      <c r="C91" s="25">
        <f t="shared" ref="C91:H91" si="12">SUM(C89,C74,C45)</f>
        <v>-3193341</v>
      </c>
      <c r="D91" s="25">
        <f t="shared" si="12"/>
        <v>-1400000</v>
      </c>
      <c r="E91" s="25">
        <f t="shared" si="12"/>
        <v>-320000</v>
      </c>
      <c r="F91" s="25">
        <f t="shared" si="12"/>
        <v>-445000</v>
      </c>
      <c r="G91" s="25">
        <f t="shared" si="12"/>
        <v>0</v>
      </c>
      <c r="H91" s="26">
        <f t="shared" si="12"/>
        <v>-798000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x14ac:dyDescent="0.25">
      <c r="A92" s="18"/>
      <c r="B92" s="23" t="s">
        <v>130</v>
      </c>
      <c r="C92" s="23" t="s">
        <v>118</v>
      </c>
      <c r="D92" s="23" t="s">
        <v>115</v>
      </c>
      <c r="E92" s="23" t="s">
        <v>116</v>
      </c>
      <c r="F92" s="23" t="s">
        <v>117</v>
      </c>
      <c r="G92" s="23" t="s">
        <v>119</v>
      </c>
      <c r="H92" s="24" t="s">
        <v>120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ht="15.75" x14ac:dyDescent="0.25">
      <c r="A93" s="27" t="s">
        <v>114</v>
      </c>
      <c r="B93" s="28">
        <f t="shared" ref="B93:H93" si="13">SUM(B91,B24)</f>
        <v>41659</v>
      </c>
      <c r="C93" s="28">
        <f t="shared" si="13"/>
        <v>41659</v>
      </c>
      <c r="D93" s="28">
        <f t="shared" si="13"/>
        <v>0</v>
      </c>
      <c r="E93" s="28">
        <f t="shared" si="13"/>
        <v>0</v>
      </c>
      <c r="F93" s="28">
        <f t="shared" si="13"/>
        <v>0</v>
      </c>
      <c r="G93" s="28">
        <f t="shared" si="13"/>
        <v>0</v>
      </c>
      <c r="H93" s="29">
        <f t="shared" si="13"/>
        <v>0</v>
      </c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</sheetData>
  <pageMargins left="0.7" right="0.7" top="0.75" bottom="0.75" header="0.3" footer="0.3"/>
  <pageSetup paperSize="9" orientation="portrait" horizontalDpi="0" verticalDpi="0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80909-C37B-4312-92E3-90F1039376FC}">
  <dimension ref="A1:S91"/>
  <sheetViews>
    <sheetView zoomScale="140" zoomScaleNormal="140" workbookViewId="0">
      <pane ySplit="1" topLeftCell="A23" activePane="bottomLeft" state="frozen"/>
      <selection pane="bottomLeft" activeCell="B33" sqref="B33:B34"/>
    </sheetView>
  </sheetViews>
  <sheetFormatPr defaultRowHeight="15" x14ac:dyDescent="0.25"/>
  <cols>
    <col min="1" max="1" width="48" bestFit="1" customWidth="1"/>
    <col min="2" max="2" width="13.85546875" customWidth="1"/>
    <col min="3" max="3" width="12.7109375" bestFit="1" customWidth="1"/>
    <col min="4" max="6" width="11" customWidth="1"/>
    <col min="7" max="7" width="20.5703125" bestFit="1" customWidth="1"/>
    <col min="8" max="8" width="19.140625" bestFit="1" customWidth="1"/>
  </cols>
  <sheetData>
    <row r="1" spans="1:19" ht="18.75" x14ac:dyDescent="0.3">
      <c r="A1" s="33" t="s">
        <v>48</v>
      </c>
      <c r="B1" s="16" t="s">
        <v>121</v>
      </c>
      <c r="C1" s="16" t="s">
        <v>118</v>
      </c>
      <c r="D1" s="16" t="s">
        <v>115</v>
      </c>
      <c r="E1" s="16" t="s">
        <v>116</v>
      </c>
      <c r="F1" s="16" t="s">
        <v>117</v>
      </c>
      <c r="G1" s="16" t="s">
        <v>119</v>
      </c>
      <c r="H1" s="16" t="s">
        <v>120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5.75" x14ac:dyDescent="0.25">
      <c r="A2" s="30" t="s">
        <v>49</v>
      </c>
      <c r="B2" s="16" t="s">
        <v>121</v>
      </c>
      <c r="C2" s="16" t="s">
        <v>118</v>
      </c>
      <c r="D2" s="16" t="s">
        <v>115</v>
      </c>
      <c r="E2" s="16" t="s">
        <v>116</v>
      </c>
      <c r="F2" s="16" t="s">
        <v>117</v>
      </c>
      <c r="G2" s="16" t="s">
        <v>119</v>
      </c>
      <c r="H2" s="16" t="s">
        <v>120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x14ac:dyDescent="0.25">
      <c r="A3" s="31" t="s">
        <v>38</v>
      </c>
      <c r="B3" s="13">
        <f>C3+D3+E3+F3+G3+H3</f>
        <v>2749000</v>
      </c>
      <c r="C3" s="13">
        <v>2749000</v>
      </c>
      <c r="D3" s="13">
        <v>0</v>
      </c>
      <c r="E3" s="13">
        <v>0</v>
      </c>
      <c r="F3" s="13">
        <v>0</v>
      </c>
      <c r="G3" s="13">
        <v>0</v>
      </c>
      <c r="H3" s="13">
        <v>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x14ac:dyDescent="0.25">
      <c r="A4" s="32" t="s">
        <v>39</v>
      </c>
      <c r="B4" s="20">
        <f t="shared" ref="B4:B12" si="0">C4+D4+E4+F4+G4+H4</f>
        <v>1210000</v>
      </c>
      <c r="C4" s="20"/>
      <c r="D4" s="20">
        <v>1210000</v>
      </c>
      <c r="E4" s="20"/>
      <c r="F4" s="20"/>
      <c r="G4" s="20"/>
      <c r="H4" s="2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x14ac:dyDescent="0.25">
      <c r="A5" s="31" t="s">
        <v>40</v>
      </c>
      <c r="B5" s="13">
        <f t="shared" si="0"/>
        <v>330000</v>
      </c>
      <c r="C5" s="13"/>
      <c r="D5" s="13"/>
      <c r="E5" s="13"/>
      <c r="F5" s="13">
        <v>330000</v>
      </c>
      <c r="G5" s="13"/>
      <c r="H5" s="13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x14ac:dyDescent="0.25">
      <c r="A6" s="32" t="s">
        <v>41</v>
      </c>
      <c r="B6" s="20">
        <f t="shared" si="0"/>
        <v>320000</v>
      </c>
      <c r="C6" s="20"/>
      <c r="D6" s="20"/>
      <c r="E6" s="20">
        <v>320000</v>
      </c>
      <c r="F6" s="20"/>
      <c r="G6" s="20"/>
      <c r="H6" s="2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x14ac:dyDescent="0.25">
      <c r="A7" s="31" t="s">
        <v>42</v>
      </c>
      <c r="B7" s="13">
        <f t="shared" si="0"/>
        <v>492500</v>
      </c>
      <c r="C7" s="13"/>
      <c r="D7" s="13"/>
      <c r="E7" s="13"/>
      <c r="F7" s="13"/>
      <c r="G7" s="13"/>
      <c r="H7" s="13">
        <v>492500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x14ac:dyDescent="0.25">
      <c r="A8" s="32" t="s">
        <v>43</v>
      </c>
      <c r="B8" s="20">
        <f t="shared" si="0"/>
        <v>20000</v>
      </c>
      <c r="C8" s="20"/>
      <c r="D8" s="20"/>
      <c r="E8" s="20"/>
      <c r="F8" s="20"/>
      <c r="G8" s="20">
        <v>20000</v>
      </c>
      <c r="H8" s="20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25">
      <c r="A9" s="31" t="s">
        <v>44</v>
      </c>
      <c r="B9" s="13">
        <f t="shared" si="0"/>
        <v>121333</v>
      </c>
      <c r="C9" s="13">
        <v>121333</v>
      </c>
      <c r="D9" s="13"/>
      <c r="E9" s="13"/>
      <c r="F9" s="13"/>
      <c r="G9" s="13"/>
      <c r="H9" s="13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x14ac:dyDescent="0.25">
      <c r="A10" s="32" t="s">
        <v>45</v>
      </c>
      <c r="B10" s="20">
        <f t="shared" si="0"/>
        <v>10500</v>
      </c>
      <c r="C10" s="20">
        <v>10500</v>
      </c>
      <c r="D10" s="20"/>
      <c r="E10" s="20"/>
      <c r="F10" s="20"/>
      <c r="G10" s="20"/>
      <c r="H10" s="20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x14ac:dyDescent="0.25">
      <c r="A11" s="31" t="s">
        <v>46</v>
      </c>
      <c r="B11" s="13">
        <f t="shared" si="0"/>
        <v>500</v>
      </c>
      <c r="C11" s="13">
        <v>500</v>
      </c>
      <c r="D11" s="13"/>
      <c r="E11" s="13"/>
      <c r="F11" s="13"/>
      <c r="G11" s="13"/>
      <c r="H11" s="13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25">
      <c r="A12" s="32" t="s">
        <v>47</v>
      </c>
      <c r="B12" s="20">
        <f t="shared" si="0"/>
        <v>37400</v>
      </c>
      <c r="C12" s="20">
        <v>37400</v>
      </c>
      <c r="D12" s="20"/>
      <c r="E12" s="20"/>
      <c r="F12" s="20"/>
      <c r="G12" s="20"/>
      <c r="H12" s="20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25">
      <c r="A13" s="32" t="s">
        <v>138</v>
      </c>
      <c r="B13" s="20">
        <f>C13+D13+E13+F13+G13+H13</f>
        <v>-720000</v>
      </c>
      <c r="C13" s="20"/>
      <c r="D13" s="20">
        <v>-250000</v>
      </c>
      <c r="E13" s="20">
        <v>0</v>
      </c>
      <c r="F13" s="20">
        <v>-165000</v>
      </c>
      <c r="G13" s="20">
        <v>0</v>
      </c>
      <c r="H13" s="20">
        <v>-305000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25">
      <c r="A14" s="34" t="s">
        <v>50</v>
      </c>
      <c r="B14" s="35">
        <f>SUM(B3:B13)</f>
        <v>4571233</v>
      </c>
      <c r="C14" s="35">
        <f t="shared" ref="C14:H14" si="1">SUM(C3:C13)</f>
        <v>2918733</v>
      </c>
      <c r="D14" s="35">
        <f t="shared" si="1"/>
        <v>960000</v>
      </c>
      <c r="E14" s="35">
        <f t="shared" si="1"/>
        <v>320000</v>
      </c>
      <c r="F14" s="35">
        <f t="shared" si="1"/>
        <v>165000</v>
      </c>
      <c r="G14" s="35">
        <f t="shared" si="1"/>
        <v>20000</v>
      </c>
      <c r="H14" s="35">
        <f t="shared" si="1"/>
        <v>187500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25">
      <c r="A15" s="19"/>
      <c r="B15" s="20"/>
      <c r="C15" s="20"/>
      <c r="D15" s="20"/>
      <c r="E15" s="20"/>
      <c r="F15" s="20"/>
      <c r="G15" s="20"/>
      <c r="H15" s="2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5.75" x14ac:dyDescent="0.25">
      <c r="A16" s="37" t="s">
        <v>34</v>
      </c>
      <c r="B16" s="38" t="s">
        <v>121</v>
      </c>
      <c r="C16" s="38" t="s">
        <v>118</v>
      </c>
      <c r="D16" s="38" t="s">
        <v>115</v>
      </c>
      <c r="E16" s="38" t="s">
        <v>116</v>
      </c>
      <c r="F16" s="38" t="s">
        <v>117</v>
      </c>
      <c r="G16" s="38" t="s">
        <v>119</v>
      </c>
      <c r="H16" s="38" t="s">
        <v>120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x14ac:dyDescent="0.25">
      <c r="A17" s="32" t="s">
        <v>51</v>
      </c>
      <c r="B17" s="20">
        <f>C17+D17+E17+F17+G17+H17</f>
        <v>88260</v>
      </c>
      <c r="C17" s="20">
        <v>88260</v>
      </c>
      <c r="D17" s="20"/>
      <c r="E17" s="20"/>
      <c r="F17" s="20"/>
      <c r="G17" s="20"/>
      <c r="H17" s="2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5">
      <c r="A18" s="34" t="s">
        <v>52</v>
      </c>
      <c r="B18" s="35">
        <f>SUM(B17)</f>
        <v>88260</v>
      </c>
      <c r="C18" s="35">
        <f t="shared" ref="C18:H18" si="2">SUM(C17)</f>
        <v>88260</v>
      </c>
      <c r="D18" s="35">
        <f t="shared" si="2"/>
        <v>0</v>
      </c>
      <c r="E18" s="35">
        <f t="shared" si="2"/>
        <v>0</v>
      </c>
      <c r="F18" s="35">
        <f t="shared" si="2"/>
        <v>0</v>
      </c>
      <c r="G18" s="35">
        <f t="shared" si="2"/>
        <v>0</v>
      </c>
      <c r="H18" s="36">
        <f t="shared" si="2"/>
        <v>0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25">
      <c r="A19" s="19"/>
      <c r="B19" s="20"/>
      <c r="C19" s="20"/>
      <c r="D19" s="20"/>
      <c r="E19" s="20"/>
      <c r="F19" s="20"/>
      <c r="G19" s="20"/>
      <c r="H19" s="2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ht="15.75" x14ac:dyDescent="0.25">
      <c r="A20" s="37" t="s">
        <v>53</v>
      </c>
      <c r="B20" s="38" t="s">
        <v>121</v>
      </c>
      <c r="C20" s="38" t="s">
        <v>118</v>
      </c>
      <c r="D20" s="38" t="s">
        <v>115</v>
      </c>
      <c r="E20" s="38" t="s">
        <v>116</v>
      </c>
      <c r="F20" s="38" t="s">
        <v>117</v>
      </c>
      <c r="G20" s="38" t="s">
        <v>119</v>
      </c>
      <c r="H20" s="38" t="s">
        <v>120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25">
      <c r="A21" s="32" t="s">
        <v>54</v>
      </c>
      <c r="B21" s="20">
        <f>C21+D21+E21+F21+G21+H21</f>
        <v>50</v>
      </c>
      <c r="C21" s="20">
        <v>50</v>
      </c>
      <c r="D21" s="20"/>
      <c r="E21" s="20"/>
      <c r="F21" s="20"/>
      <c r="G21" s="20"/>
      <c r="H21" s="2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x14ac:dyDescent="0.25">
      <c r="A22" s="34" t="s">
        <v>55</v>
      </c>
      <c r="B22" s="35">
        <f>SUM(B21)</f>
        <v>50</v>
      </c>
      <c r="C22" s="35">
        <f t="shared" ref="C22:H22" si="3">SUM(C21)</f>
        <v>50</v>
      </c>
      <c r="D22" s="35">
        <f t="shared" si="3"/>
        <v>0</v>
      </c>
      <c r="E22" s="35">
        <f t="shared" si="3"/>
        <v>0</v>
      </c>
      <c r="F22" s="35">
        <f t="shared" si="3"/>
        <v>0</v>
      </c>
      <c r="G22" s="35">
        <f t="shared" si="3"/>
        <v>0</v>
      </c>
      <c r="H22" s="36">
        <f t="shared" si="3"/>
        <v>0</v>
      </c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25">
      <c r="A23" s="19"/>
      <c r="B23" s="16" t="s">
        <v>121</v>
      </c>
      <c r="C23" s="16" t="s">
        <v>118</v>
      </c>
      <c r="D23" s="16" t="s">
        <v>115</v>
      </c>
      <c r="E23" s="16" t="s">
        <v>116</v>
      </c>
      <c r="F23" s="16" t="s">
        <v>117</v>
      </c>
      <c r="G23" s="16" t="s">
        <v>119</v>
      </c>
      <c r="H23" s="17" t="s">
        <v>120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15.75" x14ac:dyDescent="0.25">
      <c r="A24" s="22" t="s">
        <v>56</v>
      </c>
      <c r="B24" s="13">
        <f>SUM(B22,B18,B14)</f>
        <v>4659543</v>
      </c>
      <c r="C24" s="13">
        <f t="shared" ref="C24:H24" si="4">SUM(C22,C18,C14)</f>
        <v>3007043</v>
      </c>
      <c r="D24" s="13">
        <f t="shared" si="4"/>
        <v>960000</v>
      </c>
      <c r="E24" s="13">
        <f t="shared" si="4"/>
        <v>320000</v>
      </c>
      <c r="F24" s="13">
        <f t="shared" si="4"/>
        <v>165000</v>
      </c>
      <c r="G24" s="13">
        <f t="shared" si="4"/>
        <v>20000</v>
      </c>
      <c r="H24" s="14">
        <f t="shared" si="4"/>
        <v>187500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25">
      <c r="A25" s="19"/>
      <c r="B25" s="20"/>
      <c r="C25" s="20"/>
      <c r="D25" s="20"/>
      <c r="E25" s="20"/>
      <c r="F25" s="20"/>
      <c r="G25" s="20"/>
      <c r="H25" s="2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18.75" x14ac:dyDescent="0.3">
      <c r="A26" s="12" t="s">
        <v>57</v>
      </c>
      <c r="B26" s="13"/>
      <c r="C26" s="13"/>
      <c r="D26" s="13"/>
      <c r="E26" s="13"/>
      <c r="F26" s="13"/>
      <c r="G26" s="13"/>
      <c r="H26" s="14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15.75" x14ac:dyDescent="0.25">
      <c r="A27" s="39" t="s">
        <v>35</v>
      </c>
      <c r="B27" s="10" t="s">
        <v>121</v>
      </c>
      <c r="C27" s="10" t="s">
        <v>118</v>
      </c>
      <c r="D27" s="10" t="s">
        <v>115</v>
      </c>
      <c r="E27" s="10" t="s">
        <v>116</v>
      </c>
      <c r="F27" s="10" t="s">
        <v>117</v>
      </c>
      <c r="G27" s="10" t="s">
        <v>119</v>
      </c>
      <c r="H27" s="10" t="s">
        <v>120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x14ac:dyDescent="0.25">
      <c r="A28" s="31" t="s">
        <v>58</v>
      </c>
      <c r="B28" s="13">
        <f t="shared" ref="B28:B42" si="5">C28+D28+E28+F28+G28+H28</f>
        <v>-257000</v>
      </c>
      <c r="C28" s="13">
        <v>0</v>
      </c>
      <c r="D28" s="13">
        <v>-157000</v>
      </c>
      <c r="E28" s="13">
        <v>-100000</v>
      </c>
      <c r="F28" s="13">
        <v>0</v>
      </c>
      <c r="G28" s="13"/>
      <c r="H28" s="13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x14ac:dyDescent="0.25">
      <c r="A29" s="32" t="s">
        <v>59</v>
      </c>
      <c r="B29" s="20">
        <f t="shared" si="5"/>
        <v>-360000</v>
      </c>
      <c r="C29" s="20">
        <v>-360000</v>
      </c>
      <c r="D29" s="20">
        <v>0</v>
      </c>
      <c r="E29" s="20">
        <v>0</v>
      </c>
      <c r="F29" s="20">
        <v>0</v>
      </c>
      <c r="G29" s="20"/>
      <c r="H29" s="20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x14ac:dyDescent="0.25">
      <c r="A30" s="31" t="s">
        <v>60</v>
      </c>
      <c r="B30" s="13">
        <f t="shared" si="5"/>
        <v>-103578.44</v>
      </c>
      <c r="C30" s="13">
        <v>-0.22</v>
      </c>
      <c r="D30" s="13">
        <v>0</v>
      </c>
      <c r="E30" s="13">
        <v>0</v>
      </c>
      <c r="F30" s="13">
        <v>-103578.22</v>
      </c>
      <c r="G30" s="13"/>
      <c r="H30" s="13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x14ac:dyDescent="0.25">
      <c r="A31" s="32" t="s">
        <v>61</v>
      </c>
      <c r="B31" s="20">
        <f t="shared" si="5"/>
        <v>0</v>
      </c>
      <c r="C31" s="20">
        <v>0</v>
      </c>
      <c r="D31" s="20">
        <v>0</v>
      </c>
      <c r="E31" s="20">
        <v>0</v>
      </c>
      <c r="F31" s="20">
        <v>0</v>
      </c>
      <c r="G31" s="20"/>
      <c r="H31" s="20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x14ac:dyDescent="0.25">
      <c r="A32" s="31" t="s">
        <v>62</v>
      </c>
      <c r="B32" s="13">
        <f t="shared" si="5"/>
        <v>0</v>
      </c>
      <c r="C32" s="13">
        <v>0</v>
      </c>
      <c r="D32" s="13">
        <v>0</v>
      </c>
      <c r="E32" s="13">
        <v>0</v>
      </c>
      <c r="F32" s="13">
        <v>0</v>
      </c>
      <c r="G32" s="13"/>
      <c r="H32" s="13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x14ac:dyDescent="0.25">
      <c r="A33" s="32" t="s">
        <v>63</v>
      </c>
      <c r="B33" s="20">
        <f t="shared" si="5"/>
        <v>-245500</v>
      </c>
      <c r="C33" s="20">
        <v>-10500</v>
      </c>
      <c r="D33" s="20">
        <v>-115500</v>
      </c>
      <c r="E33" s="20">
        <v>-119500</v>
      </c>
      <c r="F33" s="20">
        <v>0</v>
      </c>
      <c r="G33" s="20"/>
      <c r="H33" s="20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x14ac:dyDescent="0.25">
      <c r="A34" s="31" t="s">
        <v>64</v>
      </c>
      <c r="B34" s="13">
        <f t="shared" si="5"/>
        <v>-550000</v>
      </c>
      <c r="C34" s="13">
        <v>-275000</v>
      </c>
      <c r="D34" s="13">
        <v>-275000</v>
      </c>
      <c r="E34" s="13">
        <v>0</v>
      </c>
      <c r="F34" s="13">
        <v>0</v>
      </c>
      <c r="G34" s="13"/>
      <c r="H34" s="13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x14ac:dyDescent="0.25">
      <c r="A35" s="32" t="s">
        <v>65</v>
      </c>
      <c r="B35" s="20">
        <f t="shared" si="5"/>
        <v>-100000</v>
      </c>
      <c r="C35" s="20">
        <v>-25000</v>
      </c>
      <c r="D35" s="20">
        <v>-50000</v>
      </c>
      <c r="E35" s="20">
        <v>-25000</v>
      </c>
      <c r="F35" s="20">
        <v>0</v>
      </c>
      <c r="G35" s="20"/>
      <c r="H35" s="20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x14ac:dyDescent="0.25">
      <c r="A36" s="31" t="s">
        <v>66</v>
      </c>
      <c r="B36" s="13">
        <f t="shared" si="5"/>
        <v>-115000</v>
      </c>
      <c r="C36" s="13">
        <v>0</v>
      </c>
      <c r="D36" s="13"/>
      <c r="E36" s="13">
        <v>0</v>
      </c>
      <c r="F36" s="13">
        <v>0</v>
      </c>
      <c r="G36" s="13"/>
      <c r="H36" s="13">
        <v>-115000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x14ac:dyDescent="0.25">
      <c r="A37" s="32" t="s">
        <v>67</v>
      </c>
      <c r="B37" s="20">
        <f t="shared" si="5"/>
        <v>-18000</v>
      </c>
      <c r="C37" s="20">
        <v>-18000</v>
      </c>
      <c r="D37" s="20"/>
      <c r="E37" s="20">
        <v>0</v>
      </c>
      <c r="F37" s="20">
        <v>0</v>
      </c>
      <c r="G37" s="20"/>
      <c r="H37" s="20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x14ac:dyDescent="0.25">
      <c r="A38" s="31" t="s">
        <v>68</v>
      </c>
      <c r="B38" s="13">
        <f t="shared" si="5"/>
        <v>0</v>
      </c>
      <c r="C38" s="13">
        <v>0</v>
      </c>
      <c r="D38" s="13"/>
      <c r="E38" s="13">
        <v>0</v>
      </c>
      <c r="F38" s="13">
        <v>0</v>
      </c>
      <c r="G38" s="13"/>
      <c r="H38" s="13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x14ac:dyDescent="0.25">
      <c r="A39" s="32" t="s">
        <v>69</v>
      </c>
      <c r="B39" s="20">
        <f t="shared" si="5"/>
        <v>0</v>
      </c>
      <c r="C39" s="20">
        <v>0</v>
      </c>
      <c r="D39" s="20"/>
      <c r="E39" s="20">
        <v>0</v>
      </c>
      <c r="F39" s="20">
        <v>0</v>
      </c>
      <c r="G39" s="20"/>
      <c r="H39" s="20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x14ac:dyDescent="0.25">
      <c r="A40" s="31" t="s">
        <v>70</v>
      </c>
      <c r="B40" s="13">
        <f t="shared" si="5"/>
        <v>-250000</v>
      </c>
      <c r="C40" s="13">
        <v>-240000</v>
      </c>
      <c r="D40" s="13"/>
      <c r="E40" s="13">
        <v>0</v>
      </c>
      <c r="F40" s="13">
        <v>-10000</v>
      </c>
      <c r="G40" s="13"/>
      <c r="H40" s="13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x14ac:dyDescent="0.25">
      <c r="A41" s="32" t="s">
        <v>71</v>
      </c>
      <c r="B41" s="20">
        <f t="shared" si="5"/>
        <v>-10000</v>
      </c>
      <c r="C41" s="20">
        <v>0</v>
      </c>
      <c r="D41" s="20">
        <v>-10000</v>
      </c>
      <c r="E41" s="20">
        <v>0</v>
      </c>
      <c r="F41" s="20">
        <v>0</v>
      </c>
      <c r="G41" s="20"/>
      <c r="H41" s="20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x14ac:dyDescent="0.25">
      <c r="A42" s="31" t="s">
        <v>72</v>
      </c>
      <c r="B42" s="13">
        <f t="shared" si="5"/>
        <v>-11095</v>
      </c>
      <c r="C42" s="13">
        <v>-11095</v>
      </c>
      <c r="D42" s="13"/>
      <c r="E42" s="13">
        <v>0</v>
      </c>
      <c r="F42" s="13">
        <v>0</v>
      </c>
      <c r="G42" s="13"/>
      <c r="H42" s="13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x14ac:dyDescent="0.25">
      <c r="A43" s="40" t="s">
        <v>73</v>
      </c>
      <c r="B43" s="41">
        <f>SUM(B26:B42)</f>
        <v>-2020173.44</v>
      </c>
      <c r="C43" s="41">
        <f t="shared" ref="C43:H43" si="6">SUM(C26:C42)</f>
        <v>-939595.22</v>
      </c>
      <c r="D43" s="41">
        <f t="shared" si="6"/>
        <v>-607500</v>
      </c>
      <c r="E43" s="41">
        <f t="shared" si="6"/>
        <v>-244500</v>
      </c>
      <c r="F43" s="41">
        <f t="shared" si="6"/>
        <v>-113578.22</v>
      </c>
      <c r="G43" s="41">
        <f t="shared" si="6"/>
        <v>0</v>
      </c>
      <c r="H43" s="42">
        <f t="shared" si="6"/>
        <v>-115000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x14ac:dyDescent="0.25">
      <c r="A44" s="18"/>
      <c r="B44" s="13"/>
      <c r="C44" s="13"/>
      <c r="D44" s="13"/>
      <c r="E44" s="13"/>
      <c r="F44" s="13"/>
      <c r="G44" s="13"/>
      <c r="H44" s="14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ht="15.75" x14ac:dyDescent="0.25">
      <c r="A45" s="39" t="s">
        <v>36</v>
      </c>
      <c r="B45" s="10" t="s">
        <v>121</v>
      </c>
      <c r="C45" s="10" t="s">
        <v>118</v>
      </c>
      <c r="D45" s="10" t="s">
        <v>115</v>
      </c>
      <c r="E45" s="10" t="s">
        <v>116</v>
      </c>
      <c r="F45" s="10" t="s">
        <v>117</v>
      </c>
      <c r="G45" s="10" t="s">
        <v>119</v>
      </c>
      <c r="H45" s="10" t="s">
        <v>120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x14ac:dyDescent="0.25">
      <c r="A46" s="31" t="s">
        <v>74</v>
      </c>
      <c r="B46" s="13">
        <f t="shared" ref="B46:B71" si="7">C46+D46+E46+F46+G46+H46</f>
        <v>-126367</v>
      </c>
      <c r="C46" s="13">
        <v>-126367</v>
      </c>
      <c r="D46" s="13">
        <v>0</v>
      </c>
      <c r="E46" s="13"/>
      <c r="F46" s="13"/>
      <c r="G46" s="13"/>
      <c r="H46" s="13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x14ac:dyDescent="0.25">
      <c r="A47" s="32" t="s">
        <v>75</v>
      </c>
      <c r="B47" s="20">
        <f t="shared" si="7"/>
        <v>-34288</v>
      </c>
      <c r="C47" s="20">
        <v>-34288</v>
      </c>
      <c r="D47" s="20">
        <v>0</v>
      </c>
      <c r="E47" s="20"/>
      <c r="F47" s="20"/>
      <c r="G47" s="20"/>
      <c r="H47" s="20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x14ac:dyDescent="0.25">
      <c r="A48" s="31" t="s">
        <v>76</v>
      </c>
      <c r="B48" s="13">
        <f t="shared" si="7"/>
        <v>-98242</v>
      </c>
      <c r="C48" s="13">
        <v>-98242</v>
      </c>
      <c r="D48" s="13">
        <v>0</v>
      </c>
      <c r="E48" s="13"/>
      <c r="F48" s="13"/>
      <c r="G48" s="13"/>
      <c r="H48" s="13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x14ac:dyDescent="0.25">
      <c r="A49" s="32" t="s">
        <v>77</v>
      </c>
      <c r="B49" s="20">
        <f t="shared" si="7"/>
        <v>-5375</v>
      </c>
      <c r="C49" s="20">
        <v>-5375</v>
      </c>
      <c r="D49" s="20">
        <v>0</v>
      </c>
      <c r="E49" s="20"/>
      <c r="F49" s="20"/>
      <c r="G49" s="20"/>
      <c r="H49" s="20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x14ac:dyDescent="0.25">
      <c r="A50" s="31" t="s">
        <v>78</v>
      </c>
      <c r="B50" s="13">
        <f t="shared" si="7"/>
        <v>-238866.5</v>
      </c>
      <c r="C50" s="13">
        <v>-218866.5</v>
      </c>
      <c r="D50" s="13">
        <v>0</v>
      </c>
      <c r="E50" s="13"/>
      <c r="F50" s="13"/>
      <c r="G50" s="13">
        <v>-20000</v>
      </c>
      <c r="H50" s="13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x14ac:dyDescent="0.25">
      <c r="A51" s="32" t="s">
        <v>79</v>
      </c>
      <c r="B51" s="20">
        <f t="shared" si="7"/>
        <v>-18733</v>
      </c>
      <c r="C51" s="20">
        <v>0</v>
      </c>
      <c r="D51" s="20">
        <v>-18733</v>
      </c>
      <c r="E51" s="20"/>
      <c r="F51" s="20"/>
      <c r="G51" s="20"/>
      <c r="H51" s="20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x14ac:dyDescent="0.25">
      <c r="A52" s="31" t="s">
        <v>80</v>
      </c>
      <c r="B52" s="13">
        <f t="shared" si="7"/>
        <v>-1705</v>
      </c>
      <c r="C52" s="13">
        <v>0</v>
      </c>
      <c r="D52" s="13">
        <v>0</v>
      </c>
      <c r="E52" s="13"/>
      <c r="F52" s="13"/>
      <c r="G52" s="13"/>
      <c r="H52" s="13">
        <v>-1705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x14ac:dyDescent="0.25">
      <c r="A53" s="32" t="s">
        <v>81</v>
      </c>
      <c r="B53" s="20">
        <f t="shared" si="7"/>
        <v>0</v>
      </c>
      <c r="C53" s="20">
        <v>0</v>
      </c>
      <c r="D53" s="20">
        <v>0</v>
      </c>
      <c r="E53" s="20"/>
      <c r="F53" s="20"/>
      <c r="G53" s="20"/>
      <c r="H53" s="20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x14ac:dyDescent="0.25">
      <c r="A54" s="31" t="s">
        <v>82</v>
      </c>
      <c r="B54" s="13">
        <f t="shared" si="7"/>
        <v>0</v>
      </c>
      <c r="C54" s="13">
        <v>0</v>
      </c>
      <c r="D54" s="13">
        <v>0</v>
      </c>
      <c r="E54" s="13"/>
      <c r="F54" s="13"/>
      <c r="G54" s="13"/>
      <c r="H54" s="13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x14ac:dyDescent="0.25">
      <c r="A55" s="32" t="s">
        <v>83</v>
      </c>
      <c r="B55" s="20">
        <f t="shared" si="7"/>
        <v>-3986</v>
      </c>
      <c r="C55" s="20">
        <v>-3986</v>
      </c>
      <c r="D55" s="20">
        <v>0</v>
      </c>
      <c r="E55" s="20"/>
      <c r="F55" s="20"/>
      <c r="G55" s="20"/>
      <c r="H55" s="20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x14ac:dyDescent="0.25">
      <c r="A56" s="31" t="s">
        <v>84</v>
      </c>
      <c r="B56" s="13">
        <f t="shared" si="7"/>
        <v>0</v>
      </c>
      <c r="C56" s="13">
        <v>0</v>
      </c>
      <c r="D56" s="13">
        <v>0</v>
      </c>
      <c r="E56" s="13"/>
      <c r="F56" s="13"/>
      <c r="G56" s="13"/>
      <c r="H56" s="13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x14ac:dyDescent="0.25">
      <c r="A57" s="32" t="s">
        <v>85</v>
      </c>
      <c r="B57" s="20">
        <f t="shared" si="7"/>
        <v>-5065.3500000000004</v>
      </c>
      <c r="C57" s="20">
        <v>-5065.3500000000004</v>
      </c>
      <c r="D57" s="20">
        <v>0</v>
      </c>
      <c r="E57" s="20"/>
      <c r="F57" s="20"/>
      <c r="G57" s="20"/>
      <c r="H57" s="20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x14ac:dyDescent="0.25">
      <c r="A58" s="31" t="s">
        <v>86</v>
      </c>
      <c r="B58" s="13">
        <f t="shared" si="7"/>
        <v>-3826.2</v>
      </c>
      <c r="C58" s="13">
        <v>-3826.2</v>
      </c>
      <c r="D58" s="13">
        <v>0</v>
      </c>
      <c r="E58" s="13"/>
      <c r="F58" s="13"/>
      <c r="G58" s="13"/>
      <c r="H58" s="13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x14ac:dyDescent="0.25">
      <c r="A59" s="32" t="s">
        <v>87</v>
      </c>
      <c r="B59" s="20">
        <f t="shared" si="7"/>
        <v>-15754</v>
      </c>
      <c r="C59" s="20">
        <v>-15754</v>
      </c>
      <c r="D59" s="20">
        <v>0</v>
      </c>
      <c r="E59" s="20"/>
      <c r="F59" s="20"/>
      <c r="G59" s="20"/>
      <c r="H59" s="20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x14ac:dyDescent="0.25">
      <c r="A60" s="31" t="s">
        <v>88</v>
      </c>
      <c r="B60" s="13">
        <f t="shared" si="7"/>
        <v>2.35</v>
      </c>
      <c r="C60" s="13">
        <v>2.35</v>
      </c>
      <c r="D60" s="13">
        <v>0</v>
      </c>
      <c r="E60" s="13"/>
      <c r="F60" s="13"/>
      <c r="G60" s="13"/>
      <c r="H60" s="13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x14ac:dyDescent="0.25">
      <c r="A61" s="32" t="s">
        <v>89</v>
      </c>
      <c r="B61" s="20">
        <f t="shared" si="7"/>
        <v>0</v>
      </c>
      <c r="C61" s="20">
        <v>0</v>
      </c>
      <c r="D61" s="20">
        <v>0</v>
      </c>
      <c r="E61" s="20"/>
      <c r="F61" s="20"/>
      <c r="G61" s="20"/>
      <c r="H61" s="20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x14ac:dyDescent="0.25">
      <c r="A62" s="31" t="s">
        <v>90</v>
      </c>
      <c r="B62" s="13">
        <f t="shared" si="7"/>
        <v>-37125</v>
      </c>
      <c r="C62" s="13">
        <v>-37125</v>
      </c>
      <c r="D62" s="13">
        <v>0</v>
      </c>
      <c r="E62" s="13"/>
      <c r="F62" s="13"/>
      <c r="G62" s="13"/>
      <c r="H62" s="13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x14ac:dyDescent="0.25">
      <c r="A63" s="32" t="s">
        <v>91</v>
      </c>
      <c r="B63" s="13">
        <f t="shared" si="7"/>
        <v>-17074</v>
      </c>
      <c r="C63" s="20">
        <v>-17074</v>
      </c>
      <c r="D63" s="20">
        <v>0</v>
      </c>
      <c r="E63" s="20"/>
      <c r="F63" s="20"/>
      <c r="G63" s="20"/>
      <c r="H63" s="20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x14ac:dyDescent="0.25">
      <c r="A64" s="31" t="s">
        <v>92</v>
      </c>
      <c r="B64" s="13">
        <f t="shared" si="7"/>
        <v>-83350.039999999994</v>
      </c>
      <c r="C64" s="13">
        <f>-68500.04+1567</f>
        <v>-66933.039999999994</v>
      </c>
      <c r="D64" s="13">
        <f>-13350-1567</f>
        <v>-14917</v>
      </c>
      <c r="E64" s="13"/>
      <c r="F64" s="13"/>
      <c r="G64" s="13"/>
      <c r="H64" s="13">
        <v>-1500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x14ac:dyDescent="0.25">
      <c r="A65" s="32" t="s">
        <v>93</v>
      </c>
      <c r="B65" s="20">
        <f t="shared" si="7"/>
        <v>-376350</v>
      </c>
      <c r="C65" s="20">
        <f>-340000+2036</f>
        <v>-337964</v>
      </c>
      <c r="D65" s="20">
        <v>-16350</v>
      </c>
      <c r="E65" s="20"/>
      <c r="F65" s="20">
        <v>-22036</v>
      </c>
      <c r="G65" s="20"/>
      <c r="H65" s="20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 x14ac:dyDescent="0.25">
      <c r="A66" s="31" t="s">
        <v>94</v>
      </c>
      <c r="B66" s="13">
        <f t="shared" si="7"/>
        <v>-1154</v>
      </c>
      <c r="C66" s="13">
        <v>-1154</v>
      </c>
      <c r="D66" s="13">
        <v>0</v>
      </c>
      <c r="E66" s="13"/>
      <c r="F66" s="13"/>
      <c r="G66" s="13"/>
      <c r="H66" s="13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x14ac:dyDescent="0.25">
      <c r="A67" s="32" t="s">
        <v>95</v>
      </c>
      <c r="B67" s="20">
        <f t="shared" si="7"/>
        <v>-3321</v>
      </c>
      <c r="C67" s="20">
        <v>-3321</v>
      </c>
      <c r="D67" s="20">
        <v>0</v>
      </c>
      <c r="E67" s="20"/>
      <c r="F67" s="20"/>
      <c r="G67" s="20"/>
      <c r="H67" s="20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x14ac:dyDescent="0.25">
      <c r="A68" s="31" t="s">
        <v>96</v>
      </c>
      <c r="B68" s="13">
        <f t="shared" si="7"/>
        <v>-5014.5</v>
      </c>
      <c r="C68" s="13">
        <v>-5014.5</v>
      </c>
      <c r="D68" s="13">
        <v>0</v>
      </c>
      <c r="E68" s="13"/>
      <c r="F68" s="13"/>
      <c r="G68" s="13"/>
      <c r="H68" s="13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x14ac:dyDescent="0.25">
      <c r="A69" s="32" t="s">
        <v>97</v>
      </c>
      <c r="B69" s="20">
        <f t="shared" si="7"/>
        <v>-350522.26</v>
      </c>
      <c r="C69" s="20">
        <v>-350522.26</v>
      </c>
      <c r="D69" s="20">
        <v>0</v>
      </c>
      <c r="E69" s="20"/>
      <c r="F69" s="20"/>
      <c r="G69" s="20"/>
      <c r="H69" s="20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x14ac:dyDescent="0.25">
      <c r="A70" s="31" t="s">
        <v>98</v>
      </c>
      <c r="B70" s="13">
        <f t="shared" si="7"/>
        <v>-87144</v>
      </c>
      <c r="C70" s="13">
        <v>-87144</v>
      </c>
      <c r="D70" s="13">
        <v>0</v>
      </c>
      <c r="E70" s="13"/>
      <c r="F70" s="13"/>
      <c r="G70" s="13"/>
      <c r="H70" s="13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 x14ac:dyDescent="0.25">
      <c r="A71" s="32" t="s">
        <v>99</v>
      </c>
      <c r="B71" s="20">
        <f t="shared" si="7"/>
        <v>0</v>
      </c>
      <c r="C71" s="20">
        <v>0</v>
      </c>
      <c r="D71" s="20">
        <v>0</v>
      </c>
      <c r="E71" s="20"/>
      <c r="F71" s="20"/>
      <c r="G71" s="20"/>
      <c r="H71" s="20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 ht="15.75" customHeight="1" x14ac:dyDescent="0.25">
      <c r="A72" s="34" t="s">
        <v>100</v>
      </c>
      <c r="B72" s="35">
        <f>SUM(B46:B71)</f>
        <v>-1513260.5</v>
      </c>
      <c r="C72" s="35">
        <f t="shared" ref="C72:H72" si="8">SUM(C46:C71)</f>
        <v>-1418019.5</v>
      </c>
      <c r="D72" s="35">
        <f t="shared" si="8"/>
        <v>-50000</v>
      </c>
      <c r="E72" s="35">
        <f t="shared" si="8"/>
        <v>0</v>
      </c>
      <c r="F72" s="35">
        <f t="shared" si="8"/>
        <v>-22036</v>
      </c>
      <c r="G72" s="35">
        <f t="shared" si="8"/>
        <v>-20000</v>
      </c>
      <c r="H72" s="36">
        <f t="shared" si="8"/>
        <v>-3205</v>
      </c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19" x14ac:dyDescent="0.25">
      <c r="A73" s="19"/>
      <c r="B73" s="20"/>
      <c r="C73" s="20"/>
      <c r="D73" s="20"/>
      <c r="E73" s="20"/>
      <c r="F73" s="20"/>
      <c r="G73" s="20"/>
      <c r="H73" s="2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 ht="15.75" x14ac:dyDescent="0.25">
      <c r="A74" s="37" t="s">
        <v>37</v>
      </c>
      <c r="B74" s="38" t="s">
        <v>121</v>
      </c>
      <c r="C74" s="38" t="s">
        <v>118</v>
      </c>
      <c r="D74" s="38" t="s">
        <v>115</v>
      </c>
      <c r="E74" s="38" t="s">
        <v>116</v>
      </c>
      <c r="F74" s="38" t="s">
        <v>117</v>
      </c>
      <c r="G74" s="38" t="s">
        <v>119</v>
      </c>
      <c r="H74" s="38" t="s">
        <v>120</v>
      </c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19" x14ac:dyDescent="0.25">
      <c r="A75" s="32" t="s">
        <v>101</v>
      </c>
      <c r="B75" s="20">
        <f t="shared" ref="B75:B86" si="9">C75+D75+E75+F75+G75+H75</f>
        <v>-636907</v>
      </c>
      <c r="C75" s="20">
        <v>-636907</v>
      </c>
      <c r="D75" s="20">
        <v>0</v>
      </c>
      <c r="E75" s="20"/>
      <c r="F75" s="20"/>
      <c r="G75" s="20"/>
      <c r="H75" s="20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x14ac:dyDescent="0.25">
      <c r="A76" s="31" t="s">
        <v>122</v>
      </c>
      <c r="B76" s="43">
        <f>D76+E76+F76+G76+H76</f>
        <v>-471295</v>
      </c>
      <c r="C76" s="13">
        <f>-1*(D76+E76+F76+G76+H76)</f>
        <v>471295</v>
      </c>
      <c r="D76" s="13">
        <v>-302500</v>
      </c>
      <c r="E76" s="13">
        <v>-75500</v>
      </c>
      <c r="F76" s="13">
        <v>-24000</v>
      </c>
      <c r="G76" s="13"/>
      <c r="H76" s="13">
        <f>-60000-8464-831</f>
        <v>-69295</v>
      </c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x14ac:dyDescent="0.25">
      <c r="A77" s="32" t="s">
        <v>102</v>
      </c>
      <c r="B77" s="20">
        <f t="shared" si="9"/>
        <v>-35475</v>
      </c>
      <c r="C77" s="20">
        <v>-30089</v>
      </c>
      <c r="D77" s="20">
        <v>0</v>
      </c>
      <c r="E77" s="20"/>
      <c r="F77" s="20">
        <v>-5386</v>
      </c>
      <c r="G77" s="20"/>
      <c r="H77" s="20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x14ac:dyDescent="0.25">
      <c r="A78" s="31" t="s">
        <v>103</v>
      </c>
      <c r="B78" s="13">
        <f>C78+D78+E78+F78+G78+H78</f>
        <v>0</v>
      </c>
      <c r="C78" s="13">
        <v>0</v>
      </c>
      <c r="D78" s="13">
        <v>0</v>
      </c>
      <c r="E78" s="13"/>
      <c r="F78" s="13"/>
      <c r="G78" s="13"/>
      <c r="H78" s="13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x14ac:dyDescent="0.25">
      <c r="A79" s="32" t="s">
        <v>104</v>
      </c>
      <c r="B79" s="20">
        <f>C79+D79+E79+F79+G79+H79</f>
        <v>-43805.41</v>
      </c>
      <c r="C79" s="20">
        <v>-43805.41</v>
      </c>
      <c r="D79" s="20">
        <v>0</v>
      </c>
      <c r="E79" s="20"/>
      <c r="F79" s="20"/>
      <c r="G79" s="20"/>
      <c r="H79" s="20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x14ac:dyDescent="0.25">
      <c r="A80" s="31" t="s">
        <v>105</v>
      </c>
      <c r="B80" s="13">
        <f t="shared" si="9"/>
        <v>-2532</v>
      </c>
      <c r="C80" s="13">
        <v>-2532</v>
      </c>
      <c r="D80" s="13">
        <v>0</v>
      </c>
      <c r="E80" s="13"/>
      <c r="F80" s="13"/>
      <c r="G80" s="13"/>
      <c r="H80" s="13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x14ac:dyDescent="0.25">
      <c r="A81" s="32" t="s">
        <v>106</v>
      </c>
      <c r="B81" s="20">
        <f t="shared" si="9"/>
        <v>-2532</v>
      </c>
      <c r="C81" s="20">
        <v>-2532</v>
      </c>
      <c r="D81" s="20">
        <v>0</v>
      </c>
      <c r="E81" s="20"/>
      <c r="F81" s="20"/>
      <c r="G81" s="20"/>
      <c r="H81" s="20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x14ac:dyDescent="0.25">
      <c r="A82" s="31" t="s">
        <v>107</v>
      </c>
      <c r="B82" s="13">
        <f t="shared" si="9"/>
        <v>-182524</v>
      </c>
      <c r="C82" s="13">
        <v>-182524</v>
      </c>
      <c r="D82" s="13">
        <v>0</v>
      </c>
      <c r="E82" s="13"/>
      <c r="F82" s="13"/>
      <c r="G82" s="13"/>
      <c r="H82" s="13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x14ac:dyDescent="0.25">
      <c r="A83" s="32" t="s">
        <v>108</v>
      </c>
      <c r="B83" s="20">
        <f t="shared" si="9"/>
        <v>-447.38</v>
      </c>
      <c r="C83" s="20">
        <v>-447.38</v>
      </c>
      <c r="D83" s="20">
        <v>0</v>
      </c>
      <c r="E83" s="20"/>
      <c r="F83" s="20"/>
      <c r="G83" s="20"/>
      <c r="H83" s="20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x14ac:dyDescent="0.25">
      <c r="A84" s="31" t="s">
        <v>109</v>
      </c>
      <c r="B84" s="13">
        <f t="shared" si="9"/>
        <v>-165155</v>
      </c>
      <c r="C84" s="13">
        <v>-165155</v>
      </c>
      <c r="D84" s="13">
        <v>0</v>
      </c>
      <c r="E84" s="13"/>
      <c r="F84" s="13"/>
      <c r="G84" s="13"/>
      <c r="H84" s="13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x14ac:dyDescent="0.25">
      <c r="A85" s="32" t="s">
        <v>110</v>
      </c>
      <c r="B85" s="20">
        <f t="shared" si="9"/>
        <v>-200</v>
      </c>
      <c r="C85" s="20">
        <v>-200</v>
      </c>
      <c r="D85" s="20">
        <v>0</v>
      </c>
      <c r="E85" s="20"/>
      <c r="F85" s="20"/>
      <c r="G85" s="20"/>
      <c r="H85" s="20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x14ac:dyDescent="0.25">
      <c r="A86" s="31" t="s">
        <v>111</v>
      </c>
      <c r="B86" s="13">
        <f t="shared" si="9"/>
        <v>-1395</v>
      </c>
      <c r="C86" s="13">
        <v>-1395</v>
      </c>
      <c r="D86" s="13">
        <v>0</v>
      </c>
      <c r="E86" s="13"/>
      <c r="F86" s="13"/>
      <c r="G86" s="13"/>
      <c r="H86" s="13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x14ac:dyDescent="0.25">
      <c r="A87" s="40" t="s">
        <v>112</v>
      </c>
      <c r="B87" s="41">
        <f>SUM(B75:B86)+C76</f>
        <v>-1070972.7899999998</v>
      </c>
      <c r="C87" s="41">
        <f t="shared" ref="C87:H87" si="10">SUM(C75:C86)</f>
        <v>-594291.79</v>
      </c>
      <c r="D87" s="41">
        <f t="shared" si="10"/>
        <v>-302500</v>
      </c>
      <c r="E87" s="41">
        <f t="shared" si="10"/>
        <v>-75500</v>
      </c>
      <c r="F87" s="41">
        <f t="shared" si="10"/>
        <v>-29386</v>
      </c>
      <c r="G87" s="41">
        <f t="shared" si="10"/>
        <v>0</v>
      </c>
      <c r="H87" s="42">
        <f t="shared" si="10"/>
        <v>-69295</v>
      </c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x14ac:dyDescent="0.25">
      <c r="A88" s="18"/>
      <c r="B88" s="23" t="s">
        <v>121</v>
      </c>
      <c r="C88" s="23" t="s">
        <v>118</v>
      </c>
      <c r="D88" s="23" t="s">
        <v>115</v>
      </c>
      <c r="E88" s="23" t="s">
        <v>116</v>
      </c>
      <c r="F88" s="23" t="s">
        <v>117</v>
      </c>
      <c r="G88" s="23" t="s">
        <v>119</v>
      </c>
      <c r="H88" s="24" t="s">
        <v>120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ht="15.75" x14ac:dyDescent="0.25">
      <c r="A89" s="15" t="s">
        <v>113</v>
      </c>
      <c r="B89" s="25">
        <f>SUM(B87,B72,B43)</f>
        <v>-4604406.7300000004</v>
      </c>
      <c r="C89" s="25">
        <f t="shared" ref="C89:H89" si="11">SUM(C87,C72,C43)</f>
        <v>-2951906.51</v>
      </c>
      <c r="D89" s="25">
        <f t="shared" si="11"/>
        <v>-960000</v>
      </c>
      <c r="E89" s="25">
        <f t="shared" si="11"/>
        <v>-320000</v>
      </c>
      <c r="F89" s="25">
        <f t="shared" si="11"/>
        <v>-165000.22</v>
      </c>
      <c r="G89" s="25">
        <f t="shared" si="11"/>
        <v>-20000</v>
      </c>
      <c r="H89" s="26">
        <f t="shared" si="11"/>
        <v>-187500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x14ac:dyDescent="0.25">
      <c r="A90" s="18"/>
      <c r="B90" s="23" t="s">
        <v>121</v>
      </c>
      <c r="C90" s="23" t="s">
        <v>118</v>
      </c>
      <c r="D90" s="23" t="s">
        <v>115</v>
      </c>
      <c r="E90" s="23" t="s">
        <v>116</v>
      </c>
      <c r="F90" s="23" t="s">
        <v>117</v>
      </c>
      <c r="G90" s="23" t="s">
        <v>119</v>
      </c>
      <c r="H90" s="24" t="s">
        <v>120</v>
      </c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ht="15.75" x14ac:dyDescent="0.25">
      <c r="A91" s="27" t="s">
        <v>114</v>
      </c>
      <c r="B91" s="28">
        <f>SUM(B89,B24)</f>
        <v>55136.269999999553</v>
      </c>
      <c r="C91" s="28">
        <f t="shared" ref="C91:H91" si="12">SUM(C89,C24)</f>
        <v>55136.490000000224</v>
      </c>
      <c r="D91" s="28">
        <f t="shared" si="12"/>
        <v>0</v>
      </c>
      <c r="E91" s="28">
        <f t="shared" si="12"/>
        <v>0</v>
      </c>
      <c r="F91" s="28">
        <f t="shared" si="12"/>
        <v>-0.22000000000116415</v>
      </c>
      <c r="G91" s="28">
        <f t="shared" si="12"/>
        <v>0</v>
      </c>
      <c r="H91" s="29">
        <f t="shared" si="12"/>
        <v>0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</sheetData>
  <pageMargins left="0.7" right="0.7" top="0.75" bottom="0.75" header="0.3" footer="0.3"/>
  <pageSetup paperSize="9" orientation="portrait" horizontalDpi="0" verticalDpi="0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E9E9A-9A7D-4279-8077-44390BDF8759}">
  <dimension ref="A1:S50"/>
  <sheetViews>
    <sheetView topLeftCell="A20" workbookViewId="0">
      <selection activeCell="N42" sqref="N42"/>
    </sheetView>
  </sheetViews>
  <sheetFormatPr defaultRowHeight="15" x14ac:dyDescent="0.25"/>
  <cols>
    <col min="1" max="1" width="27.28515625" bestFit="1" customWidth="1"/>
    <col min="14" max="14" width="11.5703125" bestFit="1" customWidth="1"/>
    <col min="15" max="15" width="14.285156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9" x14ac:dyDescent="0.25">
      <c r="A2" t="s">
        <v>15</v>
      </c>
      <c r="B2" s="1">
        <v>15488</v>
      </c>
      <c r="C2" s="1">
        <v>7726</v>
      </c>
      <c r="D2" s="1">
        <v>7776</v>
      </c>
      <c r="E2" s="1">
        <v>7751</v>
      </c>
      <c r="F2" s="1">
        <v>7751</v>
      </c>
      <c r="G2" s="1">
        <v>7752</v>
      </c>
      <c r="H2" s="1">
        <v>7751</v>
      </c>
      <c r="I2" s="1">
        <v>7751</v>
      </c>
      <c r="J2" s="1">
        <v>7751</v>
      </c>
      <c r="K2" s="1">
        <v>7761</v>
      </c>
      <c r="L2" s="2">
        <v>7761</v>
      </c>
      <c r="M2" s="2">
        <v>7761</v>
      </c>
      <c r="N2" s="1">
        <f>SUM(Tabell11[[#This Row],[Jan]:[Dec]])</f>
        <v>100780</v>
      </c>
      <c r="O2" t="s">
        <v>16</v>
      </c>
    </row>
    <row r="3" spans="1:19" x14ac:dyDescent="0.25">
      <c r="A3" t="s">
        <v>17</v>
      </c>
      <c r="B3" s="1"/>
      <c r="C3" s="1"/>
      <c r="D3" s="1">
        <v>7701</v>
      </c>
      <c r="E3" s="1">
        <v>3732</v>
      </c>
      <c r="F3" s="1"/>
      <c r="G3" s="1">
        <v>3885</v>
      </c>
      <c r="H3" s="1"/>
      <c r="I3" s="1"/>
      <c r="J3" s="1">
        <v>3947</v>
      </c>
      <c r="K3" s="1">
        <v>3885</v>
      </c>
      <c r="L3" s="2">
        <v>3885</v>
      </c>
      <c r="M3" s="2">
        <v>3885</v>
      </c>
      <c r="N3" s="1">
        <f>SUM(Tabell11[[#This Row],[Jan]:[Dec]])</f>
        <v>30920</v>
      </c>
      <c r="O3" t="s">
        <v>18</v>
      </c>
    </row>
    <row r="4" spans="1:19" x14ac:dyDescent="0.25">
      <c r="A4" t="s">
        <v>19</v>
      </c>
      <c r="B4" s="1">
        <v>9221</v>
      </c>
      <c r="C4" s="1">
        <v>33634</v>
      </c>
      <c r="D4" s="1">
        <v>33624</v>
      </c>
      <c r="E4" s="1">
        <v>32249</v>
      </c>
      <c r="F4" s="1">
        <v>32625</v>
      </c>
      <c r="G4" s="1">
        <f>27307+3876+281+1123</f>
        <v>32587</v>
      </c>
      <c r="H4" s="1">
        <v>40405</v>
      </c>
      <c r="I4" s="1">
        <v>34434</v>
      </c>
      <c r="J4" s="1">
        <v>33834</v>
      </c>
      <c r="K4" s="1">
        <v>35588</v>
      </c>
      <c r="L4" s="2">
        <v>35588</v>
      </c>
      <c r="M4" s="2">
        <v>35588</v>
      </c>
      <c r="N4" s="1">
        <f>SUM(Tabell11[[#This Row],[Jan]:[Dec]])</f>
        <v>389377</v>
      </c>
    </row>
    <row r="5" spans="1:19" x14ac:dyDescent="0.25">
      <c r="A5" t="s">
        <v>124</v>
      </c>
      <c r="B5" s="1">
        <v>2754</v>
      </c>
      <c r="C5" s="1">
        <v>14266</v>
      </c>
      <c r="D5" s="1">
        <v>14266</v>
      </c>
      <c r="E5" s="1">
        <v>14266</v>
      </c>
      <c r="F5" s="1">
        <v>17716</v>
      </c>
      <c r="G5" s="1">
        <v>14266</v>
      </c>
      <c r="H5" s="1">
        <v>16708</v>
      </c>
      <c r="I5" s="1">
        <v>15114</v>
      </c>
      <c r="J5" s="1">
        <v>14478</v>
      </c>
      <c r="K5" s="1">
        <v>14902</v>
      </c>
      <c r="L5" s="2">
        <v>14902</v>
      </c>
      <c r="M5" s="2">
        <v>14902</v>
      </c>
      <c r="N5" s="1">
        <f>SUM(Tabell11[[#This Row],[Jan]:[Dec]])</f>
        <v>168540</v>
      </c>
    </row>
    <row r="6" spans="1:19" x14ac:dyDescent="0.25">
      <c r="A6" t="s">
        <v>20</v>
      </c>
      <c r="B6" s="1">
        <v>3762</v>
      </c>
      <c r="C6" s="1">
        <v>15050</v>
      </c>
      <c r="D6" s="1">
        <v>15050</v>
      </c>
      <c r="E6" s="1">
        <v>15050</v>
      </c>
      <c r="F6" s="1">
        <v>17038</v>
      </c>
      <c r="G6" s="1">
        <v>15050</v>
      </c>
      <c r="H6" s="1">
        <v>16497</v>
      </c>
      <c r="I6" s="1">
        <v>15567</v>
      </c>
      <c r="J6" s="1">
        <v>15179</v>
      </c>
      <c r="K6" s="1">
        <v>15457</v>
      </c>
      <c r="L6" s="2">
        <v>15457</v>
      </c>
      <c r="M6" s="2">
        <v>15457</v>
      </c>
      <c r="N6" s="1">
        <f>SUM(Tabell11[[#This Row],[Jan]:[Dec]])</f>
        <v>174614</v>
      </c>
    </row>
    <row r="7" spans="1:19" x14ac:dyDescent="0.25">
      <c r="A7" t="s">
        <v>21</v>
      </c>
      <c r="B7" s="1"/>
      <c r="C7" s="1"/>
      <c r="D7" s="1"/>
      <c r="E7" s="1">
        <v>1806</v>
      </c>
      <c r="F7" s="1">
        <v>1806</v>
      </c>
      <c r="G7" s="1">
        <v>1806</v>
      </c>
      <c r="H7" s="1">
        <v>1806</v>
      </c>
      <c r="I7" s="1">
        <v>-4250</v>
      </c>
      <c r="J7" s="1">
        <v>292</v>
      </c>
      <c r="K7" s="1">
        <v>1806</v>
      </c>
      <c r="L7" s="2">
        <v>1806</v>
      </c>
      <c r="M7" s="2">
        <v>1806</v>
      </c>
      <c r="N7" s="1">
        <f>SUM(Tabell11[[#This Row],[Jan]:[Dec]])</f>
        <v>8684</v>
      </c>
    </row>
    <row r="8" spans="1:19" x14ac:dyDescent="0.25">
      <c r="A8" t="s">
        <v>22</v>
      </c>
      <c r="B8" s="1"/>
      <c r="C8" s="1"/>
      <c r="D8" s="1"/>
      <c r="E8" s="1">
        <v>5748</v>
      </c>
      <c r="F8" s="1">
        <v>5758</v>
      </c>
      <c r="G8" s="1">
        <v>5748</v>
      </c>
      <c r="H8" s="1">
        <v>5748</v>
      </c>
      <c r="I8" s="1">
        <v>-13527</v>
      </c>
      <c r="J8" s="1">
        <v>929</v>
      </c>
      <c r="K8" s="1">
        <v>5748</v>
      </c>
      <c r="L8" s="2">
        <v>5748</v>
      </c>
      <c r="M8" s="2">
        <v>5748</v>
      </c>
      <c r="N8" s="1">
        <f>SUM(Tabell11[[#This Row],[Jan]:[Dec]])</f>
        <v>27648</v>
      </c>
    </row>
    <row r="9" spans="1:19" x14ac:dyDescent="0.25">
      <c r="A9" t="s">
        <v>23</v>
      </c>
      <c r="B9" s="1"/>
      <c r="C9" s="1"/>
      <c r="D9" s="1"/>
      <c r="E9" s="1"/>
      <c r="F9" s="1"/>
      <c r="G9" s="1"/>
      <c r="H9" s="1"/>
      <c r="I9" s="1">
        <v>19275</v>
      </c>
      <c r="J9" s="1">
        <v>4819</v>
      </c>
      <c r="K9" s="1"/>
      <c r="L9" s="2"/>
      <c r="M9" s="2"/>
      <c r="N9" s="1">
        <f>SUM(Tabell11[[#This Row],[Jan]:[Dec]])</f>
        <v>24094</v>
      </c>
    </row>
    <row r="10" spans="1:19" x14ac:dyDescent="0.25">
      <c r="A10" s="3" t="s">
        <v>24</v>
      </c>
      <c r="B10" s="4">
        <f t="shared" ref="B10:M10" si="0">SUBTOTAL(109,B2:B9)</f>
        <v>31225</v>
      </c>
      <c r="C10" s="4">
        <f t="shared" si="0"/>
        <v>70676</v>
      </c>
      <c r="D10" s="4">
        <f t="shared" si="0"/>
        <v>78417</v>
      </c>
      <c r="E10" s="4">
        <f t="shared" si="0"/>
        <v>80602</v>
      </c>
      <c r="F10" s="4">
        <f t="shared" si="0"/>
        <v>82694</v>
      </c>
      <c r="G10" s="4">
        <f t="shared" si="0"/>
        <v>81094</v>
      </c>
      <c r="H10" s="4">
        <f t="shared" si="0"/>
        <v>88915</v>
      </c>
      <c r="I10" s="4">
        <f t="shared" si="0"/>
        <v>74364</v>
      </c>
      <c r="J10" s="4">
        <f t="shared" si="0"/>
        <v>81229</v>
      </c>
      <c r="K10" s="4">
        <f t="shared" si="0"/>
        <v>85147</v>
      </c>
      <c r="L10" s="4">
        <f t="shared" si="0"/>
        <v>85147</v>
      </c>
      <c r="M10" s="4">
        <f t="shared" si="0"/>
        <v>85147</v>
      </c>
      <c r="N10" s="4">
        <f>SUM(Tabell11[[#This Row],[Jan]:[Dec]])</f>
        <v>924657</v>
      </c>
      <c r="O10" s="3"/>
    </row>
    <row r="12" spans="1:19" x14ac:dyDescent="0.25">
      <c r="A12" t="s">
        <v>25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  <c r="H12" t="s">
        <v>7</v>
      </c>
      <c r="I12" t="s">
        <v>8</v>
      </c>
      <c r="J12" t="s">
        <v>9</v>
      </c>
      <c r="K12" t="s">
        <v>10</v>
      </c>
      <c r="L12" t="s">
        <v>11</v>
      </c>
      <c r="M12" t="s">
        <v>12</v>
      </c>
      <c r="N12" t="s">
        <v>13</v>
      </c>
      <c r="O12" t="s">
        <v>14</v>
      </c>
      <c r="P12" t="s">
        <v>26</v>
      </c>
      <c r="Q12" t="s">
        <v>27</v>
      </c>
      <c r="R12" t="s">
        <v>28</v>
      </c>
      <c r="S12" t="s">
        <v>29</v>
      </c>
    </row>
    <row r="13" spans="1:19" x14ac:dyDescent="0.25">
      <c r="A13" t="s">
        <v>15</v>
      </c>
      <c r="B13" s="1">
        <v>7776</v>
      </c>
      <c r="C13" s="1">
        <v>7776</v>
      </c>
      <c r="D13" s="1">
        <v>7776</v>
      </c>
      <c r="E13" s="1">
        <v>7751</v>
      </c>
      <c r="F13" s="1">
        <v>7751</v>
      </c>
      <c r="G13" s="1">
        <v>7752</v>
      </c>
      <c r="H13" s="1">
        <v>7751</v>
      </c>
      <c r="I13" s="1">
        <v>7751</v>
      </c>
      <c r="J13" s="1">
        <v>7751</v>
      </c>
      <c r="K13" s="1">
        <v>7761</v>
      </c>
      <c r="L13" s="2">
        <v>7761</v>
      </c>
      <c r="M13" s="2">
        <v>7761</v>
      </c>
      <c r="N13" s="1">
        <f>SUM(Tabell1113[[#This Row],[Jan]:[Dec]])*1.025</f>
        <v>95445.95</v>
      </c>
      <c r="O13" t="s">
        <v>16</v>
      </c>
      <c r="P13" s="1">
        <f t="shared" ref="P13:P21" si="1">N13*Q13</f>
        <v>0</v>
      </c>
      <c r="Q13" s="1"/>
      <c r="R13" s="1"/>
      <c r="S13" s="1"/>
    </row>
    <row r="14" spans="1:19" x14ac:dyDescent="0.25">
      <c r="A14" t="s">
        <v>17</v>
      </c>
      <c r="B14" s="1">
        <v>7701</v>
      </c>
      <c r="C14" s="1">
        <v>7701</v>
      </c>
      <c r="D14" s="1">
        <v>7701</v>
      </c>
      <c r="E14" s="1">
        <v>3732</v>
      </c>
      <c r="F14" s="1"/>
      <c r="G14" s="1">
        <v>3885</v>
      </c>
      <c r="H14" s="1"/>
      <c r="I14" s="1"/>
      <c r="J14" s="1">
        <v>3947</v>
      </c>
      <c r="K14" s="1">
        <v>3885</v>
      </c>
      <c r="L14" s="2">
        <v>3885</v>
      </c>
      <c r="M14" s="2">
        <v>3885</v>
      </c>
      <c r="N14" s="1">
        <f>SUM(Tabell1113[[#This Row],[Jan]:[Dec]])*1.025</f>
        <v>47480.049999999996</v>
      </c>
      <c r="O14" t="s">
        <v>18</v>
      </c>
      <c r="P14" s="1">
        <f t="shared" si="1"/>
        <v>0</v>
      </c>
      <c r="Q14" s="1"/>
      <c r="R14" s="1"/>
      <c r="S14" s="1"/>
    </row>
    <row r="15" spans="1:19" x14ac:dyDescent="0.25">
      <c r="A15" t="s">
        <v>19</v>
      </c>
      <c r="B15" s="1">
        <v>33624</v>
      </c>
      <c r="C15" s="1">
        <v>33624</v>
      </c>
      <c r="D15" s="1">
        <v>33624</v>
      </c>
      <c r="E15" s="1">
        <v>32249</v>
      </c>
      <c r="F15" s="1">
        <v>32625</v>
      </c>
      <c r="G15" s="1">
        <f>27307+3876+281+1123</f>
        <v>32587</v>
      </c>
      <c r="H15" s="1">
        <v>40405</v>
      </c>
      <c r="I15" s="1">
        <v>34434</v>
      </c>
      <c r="J15" s="1">
        <v>33834</v>
      </c>
      <c r="K15" s="1">
        <v>35588</v>
      </c>
      <c r="L15" s="2">
        <v>35588</v>
      </c>
      <c r="M15" s="2">
        <v>35588</v>
      </c>
      <c r="N15" s="1">
        <f>SUM(Tabell1113[[#This Row],[Jan]:[Dec]])*1.025</f>
        <v>424114.24999999994</v>
      </c>
      <c r="P15" s="1">
        <f t="shared" si="1"/>
        <v>0</v>
      </c>
      <c r="Q15" s="1"/>
      <c r="R15" s="1"/>
      <c r="S15" s="1"/>
    </row>
    <row r="16" spans="1:19" x14ac:dyDescent="0.25">
      <c r="A16" t="s">
        <v>124</v>
      </c>
      <c r="B16" s="1">
        <v>14266</v>
      </c>
      <c r="C16" s="1">
        <v>14266</v>
      </c>
      <c r="D16" s="1">
        <v>14266</v>
      </c>
      <c r="E16" s="1">
        <v>14266</v>
      </c>
      <c r="F16" s="1">
        <v>17716</v>
      </c>
      <c r="G16" s="1">
        <v>14266</v>
      </c>
      <c r="H16" s="1">
        <v>16708</v>
      </c>
      <c r="I16" s="1">
        <v>15114</v>
      </c>
      <c r="J16" s="1">
        <v>14478</v>
      </c>
      <c r="K16" s="1">
        <v>14902</v>
      </c>
      <c r="L16" s="2">
        <v>14902</v>
      </c>
      <c r="M16" s="2">
        <v>14902</v>
      </c>
      <c r="N16" s="1">
        <f>SUM(Tabell1113[[#This Row],[Jan]:[Dec]])*1.025</f>
        <v>184553.3</v>
      </c>
      <c r="P16" s="1">
        <f t="shared" si="1"/>
        <v>0</v>
      </c>
      <c r="Q16" s="1"/>
      <c r="R16" s="1"/>
      <c r="S16" s="1"/>
    </row>
    <row r="17" spans="1:19" x14ac:dyDescent="0.25">
      <c r="A17" t="s">
        <v>20</v>
      </c>
      <c r="B17" s="1">
        <v>15050</v>
      </c>
      <c r="C17" s="1">
        <v>15050</v>
      </c>
      <c r="D17" s="1">
        <v>15050</v>
      </c>
      <c r="E17" s="1">
        <v>15050</v>
      </c>
      <c r="F17" s="1">
        <v>17038</v>
      </c>
      <c r="G17" s="1">
        <v>15050</v>
      </c>
      <c r="H17" s="1">
        <v>16497</v>
      </c>
      <c r="I17" s="1">
        <v>15567</v>
      </c>
      <c r="J17" s="1">
        <v>15179</v>
      </c>
      <c r="K17" s="1">
        <v>15457</v>
      </c>
      <c r="L17" s="2">
        <v>15457</v>
      </c>
      <c r="M17" s="2">
        <v>15457</v>
      </c>
      <c r="N17" s="1">
        <f>SUM(Tabell1113[[#This Row],[Jan]:[Dec]])*1.025</f>
        <v>190549.55</v>
      </c>
      <c r="P17" s="1">
        <f t="shared" si="1"/>
        <v>0</v>
      </c>
      <c r="Q17" s="1"/>
      <c r="R17" s="1"/>
      <c r="S17" s="1"/>
    </row>
    <row r="18" spans="1:19" x14ac:dyDescent="0.25">
      <c r="A18" t="s">
        <v>21</v>
      </c>
      <c r="B18" s="1">
        <v>1806</v>
      </c>
      <c r="C18" s="1">
        <v>1806</v>
      </c>
      <c r="D18" s="1">
        <v>1806</v>
      </c>
      <c r="E18" s="1">
        <v>1806</v>
      </c>
      <c r="F18" s="1">
        <v>1806</v>
      </c>
      <c r="G18" s="1">
        <v>1806</v>
      </c>
      <c r="H18" s="1">
        <v>1806</v>
      </c>
      <c r="I18" s="1">
        <v>-4250</v>
      </c>
      <c r="J18" s="1">
        <v>292</v>
      </c>
      <c r="K18" s="1">
        <v>1806</v>
      </c>
      <c r="L18" s="2">
        <v>1806</v>
      </c>
      <c r="M18" s="2">
        <v>1806</v>
      </c>
      <c r="N18" s="1">
        <f>SUM(Tabell1113[[#This Row],[Jan]:[Dec]])*1.025</f>
        <v>14454.55</v>
      </c>
      <c r="P18" s="1">
        <f t="shared" si="1"/>
        <v>0</v>
      </c>
      <c r="Q18" s="1"/>
      <c r="R18" s="1"/>
      <c r="S18" s="1"/>
    </row>
    <row r="19" spans="1:19" x14ac:dyDescent="0.25">
      <c r="A19" t="s">
        <v>22</v>
      </c>
      <c r="B19" s="1">
        <v>5748</v>
      </c>
      <c r="C19" s="1">
        <v>5748</v>
      </c>
      <c r="D19" s="1">
        <v>5748</v>
      </c>
      <c r="E19" s="1">
        <v>5748</v>
      </c>
      <c r="F19" s="1">
        <v>5758</v>
      </c>
      <c r="G19" s="1">
        <v>5748</v>
      </c>
      <c r="H19" s="1">
        <v>5748</v>
      </c>
      <c r="I19" s="1">
        <v>-13527</v>
      </c>
      <c r="J19" s="1">
        <v>929</v>
      </c>
      <c r="K19" s="1">
        <v>5748</v>
      </c>
      <c r="L19" s="2">
        <v>5748</v>
      </c>
      <c r="M19" s="2">
        <v>5748</v>
      </c>
      <c r="N19" s="1">
        <f>SUM(Tabell1113[[#This Row],[Jan]:[Dec]])*1.025</f>
        <v>46014.299999999996</v>
      </c>
      <c r="P19" s="1">
        <f t="shared" si="1"/>
        <v>0</v>
      </c>
      <c r="Q19" s="1"/>
      <c r="R19" s="1"/>
      <c r="S19" s="1"/>
    </row>
    <row r="20" spans="1:19" x14ac:dyDescent="0.25">
      <c r="A20" t="s">
        <v>23</v>
      </c>
      <c r="B20" s="1"/>
      <c r="C20" s="1"/>
      <c r="D20" s="1"/>
      <c r="E20" s="1"/>
      <c r="F20" s="1"/>
      <c r="G20" s="1"/>
      <c r="H20" s="1"/>
      <c r="I20" s="1">
        <v>19275</v>
      </c>
      <c r="J20" s="1">
        <v>4819</v>
      </c>
      <c r="K20" s="1"/>
      <c r="L20" s="2"/>
      <c r="M20" s="2"/>
      <c r="N20" s="1">
        <f>SUM(Tabell1113[[#This Row],[Jan]:[Dec]])*1.025</f>
        <v>24696.35</v>
      </c>
      <c r="P20" s="1">
        <f t="shared" si="1"/>
        <v>0</v>
      </c>
      <c r="Q20" s="1"/>
      <c r="R20" s="1"/>
      <c r="S20" s="1"/>
    </row>
    <row r="21" spans="1:19" x14ac:dyDescent="0.25">
      <c r="A21" s="3" t="s">
        <v>24</v>
      </c>
      <c r="B21" s="4">
        <f t="shared" ref="B21:M21" si="2">SUBTOTAL(109,B13:B20)</f>
        <v>85971</v>
      </c>
      <c r="C21" s="4">
        <f t="shared" si="2"/>
        <v>85971</v>
      </c>
      <c r="D21" s="4">
        <f t="shared" si="2"/>
        <v>85971</v>
      </c>
      <c r="E21" s="4">
        <f t="shared" si="2"/>
        <v>80602</v>
      </c>
      <c r="F21" s="4">
        <f t="shared" si="2"/>
        <v>82694</v>
      </c>
      <c r="G21" s="4">
        <f t="shared" si="2"/>
        <v>81094</v>
      </c>
      <c r="H21" s="4">
        <f t="shared" si="2"/>
        <v>88915</v>
      </c>
      <c r="I21" s="4">
        <f t="shared" si="2"/>
        <v>74364</v>
      </c>
      <c r="J21" s="4">
        <f t="shared" si="2"/>
        <v>81229</v>
      </c>
      <c r="K21" s="4">
        <f t="shared" si="2"/>
        <v>85147</v>
      </c>
      <c r="L21" s="4">
        <f t="shared" si="2"/>
        <v>85147</v>
      </c>
      <c r="M21" s="4">
        <f t="shared" si="2"/>
        <v>85147</v>
      </c>
      <c r="N21" s="4">
        <f>SUM(Tabell1113[[#This Row],[Jan]:[Dec]])*1.025</f>
        <v>1027308.2999999999</v>
      </c>
      <c r="O21" s="5" t="s">
        <v>30</v>
      </c>
      <c r="P21" s="1">
        <f t="shared" si="1"/>
        <v>154096.245</v>
      </c>
      <c r="Q21" s="6">
        <v>0.15</v>
      </c>
      <c r="R21" s="1" t="s">
        <v>31</v>
      </c>
      <c r="S21" s="1">
        <f t="shared" ref="S21" si="3">N21*1.025</f>
        <v>1052991.0074999998</v>
      </c>
    </row>
    <row r="23" spans="1:19" x14ac:dyDescent="0.25">
      <c r="A23" t="s">
        <v>32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  <c r="K23" t="s">
        <v>10</v>
      </c>
      <c r="L23" t="s">
        <v>11</v>
      </c>
      <c r="M23" t="s">
        <v>12</v>
      </c>
      <c r="N23" t="s">
        <v>13</v>
      </c>
      <c r="O23" t="s">
        <v>14</v>
      </c>
      <c r="P23" t="s">
        <v>26</v>
      </c>
      <c r="Q23" t="s">
        <v>27</v>
      </c>
      <c r="R23" t="s">
        <v>28</v>
      </c>
      <c r="S23" t="s">
        <v>29</v>
      </c>
    </row>
    <row r="24" spans="1:19" x14ac:dyDescent="0.25">
      <c r="A24" t="s">
        <v>15</v>
      </c>
      <c r="B24" s="1">
        <v>7776</v>
      </c>
      <c r="C24" s="1">
        <v>7776</v>
      </c>
      <c r="D24" s="1">
        <v>7776</v>
      </c>
      <c r="E24" s="1">
        <v>7751</v>
      </c>
      <c r="F24" s="1">
        <v>7751</v>
      </c>
      <c r="G24" s="1">
        <v>7752</v>
      </c>
      <c r="H24" s="1">
        <v>7751</v>
      </c>
      <c r="I24" s="1">
        <v>7751</v>
      </c>
      <c r="J24" s="1">
        <v>7751</v>
      </c>
      <c r="K24" s="1">
        <v>7761</v>
      </c>
      <c r="L24" s="2">
        <v>7761</v>
      </c>
      <c r="M24" s="2">
        <v>7761</v>
      </c>
      <c r="N24" s="1">
        <f>SUM(Tabell11133[[#This Row],[Jan]:[Dec]])*1.035</f>
        <v>96377.12999999999</v>
      </c>
      <c r="O24" t="s">
        <v>16</v>
      </c>
      <c r="P24" s="1">
        <f t="shared" ref="P24:P32" si="4">N24*Q24</f>
        <v>0</v>
      </c>
      <c r="Q24" s="1"/>
      <c r="R24" s="1"/>
      <c r="S24" s="1"/>
    </row>
    <row r="25" spans="1:19" x14ac:dyDescent="0.25">
      <c r="A25" t="s">
        <v>17</v>
      </c>
      <c r="B25" s="1">
        <v>7701</v>
      </c>
      <c r="C25" s="1">
        <v>7701</v>
      </c>
      <c r="D25" s="1">
        <v>7701</v>
      </c>
      <c r="E25" s="1">
        <v>3732</v>
      </c>
      <c r="F25" s="1"/>
      <c r="G25" s="1">
        <v>3885</v>
      </c>
      <c r="H25" s="1"/>
      <c r="I25" s="1"/>
      <c r="J25" s="1">
        <v>3947</v>
      </c>
      <c r="K25" s="1">
        <v>3885</v>
      </c>
      <c r="L25" s="2">
        <v>3885</v>
      </c>
      <c r="M25" s="2">
        <v>3885</v>
      </c>
      <c r="N25" s="1">
        <f>SUM(Tabell11133[[#This Row],[Jan]:[Dec]])*1.035</f>
        <v>47943.27</v>
      </c>
      <c r="O25" t="s">
        <v>18</v>
      </c>
      <c r="P25" s="1">
        <f t="shared" si="4"/>
        <v>0</v>
      </c>
      <c r="Q25" s="1"/>
      <c r="R25" s="1"/>
      <c r="S25" s="1"/>
    </row>
    <row r="26" spans="1:19" x14ac:dyDescent="0.25">
      <c r="A26" t="s">
        <v>19</v>
      </c>
      <c r="B26" s="1">
        <v>33624</v>
      </c>
      <c r="C26" s="1">
        <v>33624</v>
      </c>
      <c r="D26" s="1">
        <v>33624</v>
      </c>
      <c r="E26" s="1">
        <v>32249</v>
      </c>
      <c r="F26" s="1">
        <v>32625</v>
      </c>
      <c r="G26" s="1">
        <f>27307+3876+281+1123</f>
        <v>32587</v>
      </c>
      <c r="H26" s="1">
        <v>40405</v>
      </c>
      <c r="I26" s="1">
        <v>34434</v>
      </c>
      <c r="J26" s="1">
        <v>33834</v>
      </c>
      <c r="K26" s="1">
        <v>35588</v>
      </c>
      <c r="L26" s="2">
        <v>35588</v>
      </c>
      <c r="M26" s="2">
        <v>35588</v>
      </c>
      <c r="N26" s="1">
        <f>SUM(Tabell11133[[#This Row],[Jan]:[Dec]])*1.035</f>
        <v>428251.94999999995</v>
      </c>
      <c r="P26" s="1">
        <f t="shared" si="4"/>
        <v>0</v>
      </c>
      <c r="Q26" s="1"/>
      <c r="R26" s="1"/>
      <c r="S26" s="1"/>
    </row>
    <row r="27" spans="1:19" x14ac:dyDescent="0.25">
      <c r="A27" t="s">
        <v>124</v>
      </c>
      <c r="B27" s="1">
        <v>14266</v>
      </c>
      <c r="C27" s="1">
        <v>14266</v>
      </c>
      <c r="D27" s="1">
        <v>14266</v>
      </c>
      <c r="E27" s="1">
        <v>14266</v>
      </c>
      <c r="F27" s="1">
        <v>17716</v>
      </c>
      <c r="G27" s="1">
        <v>14266</v>
      </c>
      <c r="H27" s="1">
        <v>16708</v>
      </c>
      <c r="I27" s="1">
        <v>15114</v>
      </c>
      <c r="J27" s="1">
        <v>14478</v>
      </c>
      <c r="K27" s="1">
        <v>14902</v>
      </c>
      <c r="L27" s="2">
        <v>14902</v>
      </c>
      <c r="M27" s="2">
        <v>14902</v>
      </c>
      <c r="N27" s="1">
        <f>SUM(Tabell11133[[#This Row],[Jan]:[Dec]])*1.035</f>
        <v>186353.81999999998</v>
      </c>
      <c r="P27" s="1">
        <f t="shared" si="4"/>
        <v>0</v>
      </c>
      <c r="Q27" s="1"/>
      <c r="R27" s="1"/>
      <c r="S27" s="1"/>
    </row>
    <row r="28" spans="1:19" x14ac:dyDescent="0.25">
      <c r="A28" t="s">
        <v>20</v>
      </c>
      <c r="B28" s="1">
        <v>15050</v>
      </c>
      <c r="C28" s="1">
        <v>15050</v>
      </c>
      <c r="D28" s="1">
        <v>15050</v>
      </c>
      <c r="E28" s="1">
        <v>15050</v>
      </c>
      <c r="F28" s="1">
        <v>17038</v>
      </c>
      <c r="G28" s="1">
        <v>15050</v>
      </c>
      <c r="H28" s="1">
        <v>16497</v>
      </c>
      <c r="I28" s="1">
        <v>15567</v>
      </c>
      <c r="J28" s="1">
        <v>15179</v>
      </c>
      <c r="K28" s="1">
        <v>15457</v>
      </c>
      <c r="L28" s="2">
        <v>15457</v>
      </c>
      <c r="M28" s="2">
        <v>15457</v>
      </c>
      <c r="N28" s="1">
        <f>SUM(Tabell11133[[#This Row],[Jan]:[Dec]])*1.035</f>
        <v>192408.56999999998</v>
      </c>
      <c r="P28" s="1">
        <f t="shared" si="4"/>
        <v>0</v>
      </c>
      <c r="Q28" s="1"/>
      <c r="R28" s="1"/>
      <c r="S28" s="1"/>
    </row>
    <row r="29" spans="1:19" x14ac:dyDescent="0.25">
      <c r="A29" t="s">
        <v>21</v>
      </c>
      <c r="B29" s="1">
        <v>1806</v>
      </c>
      <c r="C29" s="1">
        <v>1806</v>
      </c>
      <c r="D29" s="1">
        <v>1806</v>
      </c>
      <c r="E29" s="1">
        <v>1806</v>
      </c>
      <c r="F29" s="1">
        <v>1806</v>
      </c>
      <c r="G29" s="1">
        <v>1806</v>
      </c>
      <c r="H29" s="1">
        <v>1806</v>
      </c>
      <c r="I29" s="1">
        <v>-4250</v>
      </c>
      <c r="J29" s="1">
        <v>292</v>
      </c>
      <c r="K29" s="1">
        <v>1806</v>
      </c>
      <c r="L29" s="2">
        <v>1806</v>
      </c>
      <c r="M29" s="2">
        <v>1806</v>
      </c>
      <c r="N29" s="1">
        <f>SUM(Tabell11133[[#This Row],[Jan]:[Dec]])*1.035</f>
        <v>14595.57</v>
      </c>
      <c r="P29" s="1">
        <f t="shared" si="4"/>
        <v>0</v>
      </c>
      <c r="Q29" s="1"/>
      <c r="R29" s="1"/>
      <c r="S29" s="1"/>
    </row>
    <row r="30" spans="1:19" x14ac:dyDescent="0.25">
      <c r="A30" t="s">
        <v>22</v>
      </c>
      <c r="B30" s="1">
        <v>5748</v>
      </c>
      <c r="C30" s="1">
        <v>5748</v>
      </c>
      <c r="D30" s="1">
        <v>5748</v>
      </c>
      <c r="E30" s="1">
        <v>5748</v>
      </c>
      <c r="F30" s="1">
        <v>5758</v>
      </c>
      <c r="G30" s="1">
        <v>5748</v>
      </c>
      <c r="H30" s="1">
        <v>5748</v>
      </c>
      <c r="I30" s="1">
        <v>-13527</v>
      </c>
      <c r="J30" s="1">
        <v>929</v>
      </c>
      <c r="K30" s="1">
        <v>5748</v>
      </c>
      <c r="L30" s="2">
        <v>5748</v>
      </c>
      <c r="M30" s="2">
        <v>5748</v>
      </c>
      <c r="N30" s="1">
        <f>SUM(Tabell11133[[#This Row],[Jan]:[Dec]])*1.035</f>
        <v>46463.219999999994</v>
      </c>
      <c r="P30" s="1">
        <f t="shared" si="4"/>
        <v>0</v>
      </c>
      <c r="Q30" s="1"/>
      <c r="R30" s="1"/>
      <c r="S30" s="1"/>
    </row>
    <row r="31" spans="1:19" x14ac:dyDescent="0.25">
      <c r="A31" t="s">
        <v>23</v>
      </c>
      <c r="B31" s="1"/>
      <c r="C31" s="1"/>
      <c r="D31" s="1"/>
      <c r="E31" s="1"/>
      <c r="F31" s="1"/>
      <c r="G31" s="1"/>
      <c r="H31" s="1"/>
      <c r="I31" s="1">
        <v>19275</v>
      </c>
      <c r="J31" s="1">
        <v>4819</v>
      </c>
      <c r="K31" s="1"/>
      <c r="L31" s="2"/>
      <c r="M31" s="2"/>
      <c r="N31" s="1">
        <f>SUM(Tabell11133[[#This Row],[Jan]:[Dec]])*1.035</f>
        <v>24937.289999999997</v>
      </c>
      <c r="P31" s="1">
        <f t="shared" si="4"/>
        <v>0</v>
      </c>
      <c r="Q31" s="1"/>
      <c r="R31" s="1"/>
      <c r="S31" s="1"/>
    </row>
    <row r="32" spans="1:19" x14ac:dyDescent="0.25">
      <c r="A32" s="3" t="s">
        <v>24</v>
      </c>
      <c r="B32" s="4">
        <f t="shared" ref="B32:M32" si="5">SUBTOTAL(109,B24:B31)</f>
        <v>85971</v>
      </c>
      <c r="C32" s="4">
        <f t="shared" si="5"/>
        <v>85971</v>
      </c>
      <c r="D32" s="4">
        <f t="shared" si="5"/>
        <v>85971</v>
      </c>
      <c r="E32" s="4">
        <f t="shared" si="5"/>
        <v>80602</v>
      </c>
      <c r="F32" s="4">
        <f t="shared" si="5"/>
        <v>82694</v>
      </c>
      <c r="G32" s="4">
        <f t="shared" si="5"/>
        <v>81094</v>
      </c>
      <c r="H32" s="4">
        <f t="shared" si="5"/>
        <v>88915</v>
      </c>
      <c r="I32" s="4">
        <f t="shared" si="5"/>
        <v>74364</v>
      </c>
      <c r="J32" s="4">
        <f t="shared" si="5"/>
        <v>81229</v>
      </c>
      <c r="K32" s="4">
        <f t="shared" si="5"/>
        <v>85147</v>
      </c>
      <c r="L32" s="4">
        <f t="shared" si="5"/>
        <v>85147</v>
      </c>
      <c r="M32" s="4">
        <f t="shared" si="5"/>
        <v>85147</v>
      </c>
      <c r="N32" s="4">
        <f>SUM(Tabell11133[[#This Row],[Jan]:[Dec]])*1.035</f>
        <v>1037330.82</v>
      </c>
      <c r="O32" s="5" t="s">
        <v>33</v>
      </c>
      <c r="P32" s="1">
        <f t="shared" si="4"/>
        <v>155599.62299999999</v>
      </c>
      <c r="Q32" s="6">
        <v>0.15</v>
      </c>
      <c r="R32" s="1" t="s">
        <v>31</v>
      </c>
      <c r="S32" s="1">
        <f t="shared" ref="S32" si="6">N32*1.025</f>
        <v>1063264.0904999999</v>
      </c>
    </row>
    <row r="35" spans="1:15" x14ac:dyDescent="0.25">
      <c r="A35" s="3" t="s">
        <v>123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  <c r="L35" s="3" t="s">
        <v>11</v>
      </c>
      <c r="M35" s="3" t="s">
        <v>12</v>
      </c>
      <c r="N35" s="3" t="s">
        <v>13</v>
      </c>
      <c r="O35" s="3" t="s">
        <v>14</v>
      </c>
    </row>
    <row r="36" spans="1:15" x14ac:dyDescent="0.25">
      <c r="A36" s="3" t="s">
        <v>125</v>
      </c>
      <c r="B36" s="4">
        <v>30000</v>
      </c>
      <c r="C36" s="4">
        <v>30000</v>
      </c>
      <c r="D36" s="4">
        <v>30000</v>
      </c>
      <c r="E36" s="4">
        <v>30000</v>
      </c>
      <c r="F36" s="4">
        <v>30000</v>
      </c>
      <c r="G36" s="4">
        <v>30000</v>
      </c>
      <c r="H36" s="4">
        <v>30000</v>
      </c>
      <c r="I36" s="4">
        <v>30000</v>
      </c>
      <c r="J36" s="4">
        <v>30000</v>
      </c>
      <c r="K36" s="4">
        <v>30000</v>
      </c>
      <c r="L36" s="4">
        <v>30000</v>
      </c>
      <c r="M36" s="4">
        <v>30000</v>
      </c>
      <c r="N36" s="4">
        <f>SUM(Tabell111335[[#This Row],[Jan]:[Dec]])</f>
        <v>360000</v>
      </c>
      <c r="O36" s="3"/>
    </row>
    <row r="37" spans="1:15" x14ac:dyDescent="0.25">
      <c r="A37" s="3" t="s">
        <v>126</v>
      </c>
      <c r="B37" s="4">
        <f>$N37/12</f>
        <v>500</v>
      </c>
      <c r="C37" s="4">
        <f>$N37/12</f>
        <v>500</v>
      </c>
      <c r="D37" s="4">
        <f t="shared" ref="D37:M40" si="7">$N37/12</f>
        <v>500</v>
      </c>
      <c r="E37" s="4">
        <f t="shared" si="7"/>
        <v>500</v>
      </c>
      <c r="F37" s="4">
        <f t="shared" si="7"/>
        <v>500</v>
      </c>
      <c r="G37" s="4">
        <f t="shared" si="7"/>
        <v>500</v>
      </c>
      <c r="H37" s="4">
        <f t="shared" si="7"/>
        <v>500</v>
      </c>
      <c r="I37" s="4">
        <f t="shared" si="7"/>
        <v>500</v>
      </c>
      <c r="J37" s="4">
        <f t="shared" si="7"/>
        <v>500</v>
      </c>
      <c r="K37" s="4">
        <f t="shared" si="7"/>
        <v>500</v>
      </c>
      <c r="L37" s="4">
        <f t="shared" si="7"/>
        <v>500</v>
      </c>
      <c r="M37" s="4">
        <f t="shared" si="7"/>
        <v>500</v>
      </c>
      <c r="N37" s="4">
        <v>6000</v>
      </c>
      <c r="O37" s="3"/>
    </row>
    <row r="38" spans="1:15" x14ac:dyDescent="0.25">
      <c r="A38" s="3" t="s">
        <v>127</v>
      </c>
      <c r="B38" s="4">
        <f>$N38/12</f>
        <v>9583.0833333333339</v>
      </c>
      <c r="C38" s="4">
        <f t="shared" ref="C38:C40" si="8">$N38/12</f>
        <v>9583.0833333333339</v>
      </c>
      <c r="D38" s="4">
        <f t="shared" si="7"/>
        <v>9583.0833333333339</v>
      </c>
      <c r="E38" s="4">
        <f t="shared" si="7"/>
        <v>9583.0833333333339</v>
      </c>
      <c r="F38" s="4">
        <f t="shared" si="7"/>
        <v>9583.0833333333339</v>
      </c>
      <c r="G38" s="4">
        <f t="shared" si="7"/>
        <v>9583.0833333333339</v>
      </c>
      <c r="H38" s="4">
        <f t="shared" si="7"/>
        <v>9583.0833333333339</v>
      </c>
      <c r="I38" s="4">
        <f t="shared" si="7"/>
        <v>9583.0833333333339</v>
      </c>
      <c r="J38" s="4">
        <f t="shared" si="7"/>
        <v>9583.0833333333339</v>
      </c>
      <c r="K38" s="4">
        <f t="shared" si="7"/>
        <v>9583.0833333333339</v>
      </c>
      <c r="L38" s="4">
        <f t="shared" si="7"/>
        <v>9583.0833333333339</v>
      </c>
      <c r="M38" s="4">
        <f t="shared" si="7"/>
        <v>9583.0833333333339</v>
      </c>
      <c r="N38" s="4">
        <v>114997</v>
      </c>
      <c r="O38" s="3"/>
    </row>
    <row r="39" spans="1:15" x14ac:dyDescent="0.25">
      <c r="A39" s="3" t="s">
        <v>128</v>
      </c>
      <c r="B39" s="4">
        <f>$N39/12</f>
        <v>1900</v>
      </c>
      <c r="C39" s="4">
        <f t="shared" si="8"/>
        <v>1900</v>
      </c>
      <c r="D39" s="4">
        <f t="shared" si="7"/>
        <v>1900</v>
      </c>
      <c r="E39" s="4">
        <f t="shared" si="7"/>
        <v>1900</v>
      </c>
      <c r="F39" s="4">
        <f t="shared" si="7"/>
        <v>1900</v>
      </c>
      <c r="G39" s="4">
        <f t="shared" si="7"/>
        <v>1900</v>
      </c>
      <c r="H39" s="4">
        <f t="shared" si="7"/>
        <v>1900</v>
      </c>
      <c r="I39" s="4">
        <f t="shared" si="7"/>
        <v>1900</v>
      </c>
      <c r="J39" s="4">
        <f t="shared" si="7"/>
        <v>1900</v>
      </c>
      <c r="K39" s="4">
        <f t="shared" si="7"/>
        <v>1900</v>
      </c>
      <c r="L39" s="4">
        <f t="shared" si="7"/>
        <v>1900</v>
      </c>
      <c r="M39" s="4">
        <f t="shared" si="7"/>
        <v>1900</v>
      </c>
      <c r="N39" s="4">
        <v>22800</v>
      </c>
      <c r="O39" s="3"/>
    </row>
    <row r="40" spans="1:15" x14ac:dyDescent="0.25">
      <c r="A40" s="3" t="s">
        <v>129</v>
      </c>
      <c r="B40" s="4">
        <f>$N40/12</f>
        <v>336.25</v>
      </c>
      <c r="C40" s="4">
        <f t="shared" si="8"/>
        <v>336.25</v>
      </c>
      <c r="D40" s="4">
        <f t="shared" si="7"/>
        <v>336.25</v>
      </c>
      <c r="E40" s="4">
        <f t="shared" si="7"/>
        <v>336.25</v>
      </c>
      <c r="F40" s="4">
        <f t="shared" si="7"/>
        <v>336.25</v>
      </c>
      <c r="G40" s="4">
        <f t="shared" si="7"/>
        <v>336.25</v>
      </c>
      <c r="H40" s="4">
        <f t="shared" si="7"/>
        <v>336.25</v>
      </c>
      <c r="I40" s="4">
        <f t="shared" si="7"/>
        <v>336.25</v>
      </c>
      <c r="J40" s="4">
        <f t="shared" si="7"/>
        <v>336.25</v>
      </c>
      <c r="K40" s="4">
        <f t="shared" si="7"/>
        <v>336.25</v>
      </c>
      <c r="L40" s="4">
        <f t="shared" si="7"/>
        <v>336.25</v>
      </c>
      <c r="M40" s="4">
        <f t="shared" si="7"/>
        <v>336.25</v>
      </c>
      <c r="N40" s="4">
        <v>4035</v>
      </c>
      <c r="O40" s="3"/>
    </row>
    <row r="41" spans="1:15" x14ac:dyDescent="0.25">
      <c r="A41" s="3" t="s">
        <v>24</v>
      </c>
      <c r="B41" s="4">
        <f t="shared" ref="B41:M41" si="9">SUBTOTAL(109,B36:B40)</f>
        <v>42319.333333333336</v>
      </c>
      <c r="C41" s="4">
        <f t="shared" si="9"/>
        <v>42319.333333333336</v>
      </c>
      <c r="D41" s="4">
        <f t="shared" si="9"/>
        <v>42319.333333333336</v>
      </c>
      <c r="E41" s="4">
        <f t="shared" si="9"/>
        <v>42319.333333333336</v>
      </c>
      <c r="F41" s="4">
        <f t="shared" si="9"/>
        <v>42319.333333333336</v>
      </c>
      <c r="G41" s="4">
        <f t="shared" si="9"/>
        <v>42319.333333333336</v>
      </c>
      <c r="H41" s="4">
        <f t="shared" si="9"/>
        <v>42319.333333333336</v>
      </c>
      <c r="I41" s="4">
        <f t="shared" si="9"/>
        <v>42319.333333333336</v>
      </c>
      <c r="J41" s="4">
        <f t="shared" si="9"/>
        <v>42319.333333333336</v>
      </c>
      <c r="K41" s="4">
        <f t="shared" si="9"/>
        <v>42319.333333333336</v>
      </c>
      <c r="L41" s="4">
        <f t="shared" si="9"/>
        <v>42319.333333333336</v>
      </c>
      <c r="M41" s="4">
        <f t="shared" si="9"/>
        <v>42319.333333333336</v>
      </c>
      <c r="N41" s="4">
        <f>SUM(Tabell111335[[#This Row],[Jan]:[Dec]])</f>
        <v>507831.99999999994</v>
      </c>
      <c r="O41" s="5"/>
    </row>
    <row r="42" spans="1:15" x14ac:dyDescent="0.25">
      <c r="A42" s="3"/>
      <c r="B42" s="4">
        <f>B41*0.2</f>
        <v>8463.8666666666668</v>
      </c>
      <c r="C42" s="4">
        <f t="shared" ref="C42:M42" si="10">C41*0.2</f>
        <v>8463.8666666666668</v>
      </c>
      <c r="D42" s="4">
        <f t="shared" si="10"/>
        <v>8463.8666666666668</v>
      </c>
      <c r="E42" s="4">
        <f t="shared" si="10"/>
        <v>8463.8666666666668</v>
      </c>
      <c r="F42" s="4">
        <f t="shared" si="10"/>
        <v>8463.8666666666668</v>
      </c>
      <c r="G42" s="4">
        <f t="shared" si="10"/>
        <v>8463.8666666666668</v>
      </c>
      <c r="H42" s="4">
        <f t="shared" si="10"/>
        <v>8463.8666666666668</v>
      </c>
      <c r="I42" s="4">
        <f t="shared" si="10"/>
        <v>8463.8666666666668</v>
      </c>
      <c r="J42" s="4">
        <f t="shared" si="10"/>
        <v>8463.8666666666668</v>
      </c>
      <c r="K42" s="4">
        <f t="shared" si="10"/>
        <v>8463.8666666666668</v>
      </c>
      <c r="L42" s="4">
        <f t="shared" si="10"/>
        <v>8463.8666666666668</v>
      </c>
      <c r="M42" s="4">
        <f t="shared" si="10"/>
        <v>8463.8666666666668</v>
      </c>
      <c r="N42" s="4">
        <f>N41*0.2</f>
        <v>101566.39999999999</v>
      </c>
      <c r="O42" s="3"/>
    </row>
    <row r="44" spans="1:15" x14ac:dyDescent="0.25">
      <c r="A44" s="7" t="s">
        <v>135</v>
      </c>
      <c r="B44" s="8" t="s">
        <v>1</v>
      </c>
      <c r="C44" s="8" t="s">
        <v>2</v>
      </c>
      <c r="D44" s="8" t="s">
        <v>3</v>
      </c>
      <c r="E44" s="8" t="s">
        <v>4</v>
      </c>
      <c r="F44" s="8" t="s">
        <v>5</v>
      </c>
      <c r="G44" s="8" t="s">
        <v>6</v>
      </c>
      <c r="H44" s="8" t="s">
        <v>7</v>
      </c>
      <c r="I44" s="8" t="s">
        <v>8</v>
      </c>
      <c r="J44" s="8" t="s">
        <v>9</v>
      </c>
      <c r="K44" s="8" t="s">
        <v>10</v>
      </c>
      <c r="L44" s="8" t="s">
        <v>11</v>
      </c>
      <c r="M44" s="8" t="s">
        <v>12</v>
      </c>
      <c r="N44" s="8" t="s">
        <v>13</v>
      </c>
      <c r="O44" s="9" t="s">
        <v>14</v>
      </c>
    </row>
    <row r="45" spans="1:15" x14ac:dyDescent="0.25">
      <c r="A45" s="44" t="s">
        <v>125</v>
      </c>
      <c r="B45" s="45">
        <v>0</v>
      </c>
      <c r="C45" s="45">
        <v>0</v>
      </c>
      <c r="D45" s="45">
        <v>0</v>
      </c>
      <c r="E45" s="45">
        <f>30000*0.4</f>
        <v>12000</v>
      </c>
      <c r="F45" s="45">
        <f t="shared" ref="F45:M45" si="11">30000*0.4</f>
        <v>12000</v>
      </c>
      <c r="G45" s="45">
        <f t="shared" si="11"/>
        <v>12000</v>
      </c>
      <c r="H45" s="45">
        <f t="shared" si="11"/>
        <v>12000</v>
      </c>
      <c r="I45" s="45">
        <f t="shared" si="11"/>
        <v>12000</v>
      </c>
      <c r="J45" s="45">
        <f t="shared" si="11"/>
        <v>12000</v>
      </c>
      <c r="K45" s="45">
        <f t="shared" si="11"/>
        <v>12000</v>
      </c>
      <c r="L45" s="45">
        <f t="shared" si="11"/>
        <v>12000</v>
      </c>
      <c r="M45" s="45">
        <f t="shared" si="11"/>
        <v>12000</v>
      </c>
      <c r="N45" s="45">
        <f>SUM(B45:M45)</f>
        <v>108000</v>
      </c>
      <c r="O45" s="46"/>
    </row>
    <row r="46" spans="1:15" x14ac:dyDescent="0.25">
      <c r="A46" s="44" t="s">
        <v>126</v>
      </c>
      <c r="B46" s="45">
        <v>0</v>
      </c>
      <c r="C46" s="45">
        <v>0</v>
      </c>
      <c r="D46" s="45">
        <v>0</v>
      </c>
      <c r="E46" s="45">
        <f t="shared" ref="E46:M49" si="12">$N46/12</f>
        <v>250</v>
      </c>
      <c r="F46" s="45">
        <f t="shared" si="12"/>
        <v>250</v>
      </c>
      <c r="G46" s="45">
        <f t="shared" si="12"/>
        <v>250</v>
      </c>
      <c r="H46" s="45">
        <f t="shared" si="12"/>
        <v>250</v>
      </c>
      <c r="I46" s="45">
        <f t="shared" si="12"/>
        <v>250</v>
      </c>
      <c r="J46" s="45">
        <f t="shared" si="12"/>
        <v>250</v>
      </c>
      <c r="K46" s="45">
        <f t="shared" si="12"/>
        <v>250</v>
      </c>
      <c r="L46" s="45">
        <f t="shared" si="12"/>
        <v>250</v>
      </c>
      <c r="M46" s="45">
        <f t="shared" si="12"/>
        <v>250</v>
      </c>
      <c r="N46" s="45">
        <v>3000</v>
      </c>
      <c r="O46" s="46"/>
    </row>
    <row r="47" spans="1:15" x14ac:dyDescent="0.25">
      <c r="A47" s="44" t="s">
        <v>127</v>
      </c>
      <c r="B47" s="45">
        <v>0</v>
      </c>
      <c r="C47" s="45">
        <v>0</v>
      </c>
      <c r="D47" s="45">
        <v>0</v>
      </c>
      <c r="E47" s="45">
        <f t="shared" si="12"/>
        <v>2874.9249999999997</v>
      </c>
      <c r="F47" s="45">
        <f t="shared" si="12"/>
        <v>2874.9249999999997</v>
      </c>
      <c r="G47" s="45">
        <f t="shared" si="12"/>
        <v>2874.9249999999997</v>
      </c>
      <c r="H47" s="45">
        <f t="shared" si="12"/>
        <v>2874.9249999999997</v>
      </c>
      <c r="I47" s="45">
        <f t="shared" si="12"/>
        <v>2874.9249999999997</v>
      </c>
      <c r="J47" s="45">
        <f t="shared" si="12"/>
        <v>2874.9249999999997</v>
      </c>
      <c r="K47" s="45">
        <f t="shared" si="12"/>
        <v>2874.9249999999997</v>
      </c>
      <c r="L47" s="45">
        <f t="shared" si="12"/>
        <v>2874.9249999999997</v>
      </c>
      <c r="M47" s="45">
        <f t="shared" si="12"/>
        <v>2874.9249999999997</v>
      </c>
      <c r="N47" s="45">
        <f>114997*108/360</f>
        <v>34499.1</v>
      </c>
      <c r="O47" s="46"/>
    </row>
    <row r="48" spans="1:15" x14ac:dyDescent="0.25">
      <c r="A48" s="44" t="s">
        <v>128</v>
      </c>
      <c r="B48" s="45">
        <v>0</v>
      </c>
      <c r="C48" s="45">
        <v>0</v>
      </c>
      <c r="D48" s="45">
        <v>0</v>
      </c>
      <c r="E48" s="45">
        <f t="shared" si="12"/>
        <v>570</v>
      </c>
      <c r="F48" s="45">
        <f t="shared" si="12"/>
        <v>570</v>
      </c>
      <c r="G48" s="45">
        <f t="shared" si="12"/>
        <v>570</v>
      </c>
      <c r="H48" s="45">
        <f t="shared" si="12"/>
        <v>570</v>
      </c>
      <c r="I48" s="45">
        <f t="shared" si="12"/>
        <v>570</v>
      </c>
      <c r="J48" s="45">
        <f t="shared" si="12"/>
        <v>570</v>
      </c>
      <c r="K48" s="45">
        <f t="shared" si="12"/>
        <v>570</v>
      </c>
      <c r="L48" s="45">
        <f t="shared" si="12"/>
        <v>570</v>
      </c>
      <c r="M48" s="45">
        <f t="shared" si="12"/>
        <v>570</v>
      </c>
      <c r="N48" s="45">
        <f>22800*108/360</f>
        <v>6840</v>
      </c>
      <c r="O48" s="46"/>
    </row>
    <row r="49" spans="1:15" x14ac:dyDescent="0.25">
      <c r="A49" s="44" t="s">
        <v>129</v>
      </c>
      <c r="B49" s="45">
        <v>0</v>
      </c>
      <c r="C49" s="45">
        <v>0</v>
      </c>
      <c r="D49" s="45">
        <v>0</v>
      </c>
      <c r="E49" s="45">
        <f t="shared" si="12"/>
        <v>100.875</v>
      </c>
      <c r="F49" s="45">
        <f t="shared" si="12"/>
        <v>100.875</v>
      </c>
      <c r="G49" s="45">
        <f t="shared" si="12"/>
        <v>100.875</v>
      </c>
      <c r="H49" s="45">
        <f t="shared" si="12"/>
        <v>100.875</v>
      </c>
      <c r="I49" s="45">
        <f t="shared" si="12"/>
        <v>100.875</v>
      </c>
      <c r="J49" s="45">
        <f t="shared" si="12"/>
        <v>100.875</v>
      </c>
      <c r="K49" s="45">
        <f t="shared" si="12"/>
        <v>100.875</v>
      </c>
      <c r="L49" s="45">
        <f t="shared" si="12"/>
        <v>100.875</v>
      </c>
      <c r="M49" s="45">
        <f t="shared" si="12"/>
        <v>100.875</v>
      </c>
      <c r="N49" s="45">
        <f>4035*108/360</f>
        <v>1210.5</v>
      </c>
      <c r="O49" s="46"/>
    </row>
    <row r="50" spans="1:15" x14ac:dyDescent="0.25">
      <c r="A50" s="44" t="s">
        <v>24</v>
      </c>
      <c r="B50" s="45">
        <f t="shared" ref="B50:M50" si="13">SUBTOTAL(109,B45:B49)</f>
        <v>0</v>
      </c>
      <c r="C50" s="45">
        <f t="shared" si="13"/>
        <v>0</v>
      </c>
      <c r="D50" s="45">
        <f t="shared" si="13"/>
        <v>0</v>
      </c>
      <c r="E50" s="45">
        <f t="shared" si="13"/>
        <v>15795.8</v>
      </c>
      <c r="F50" s="45">
        <f t="shared" si="13"/>
        <v>15795.8</v>
      </c>
      <c r="G50" s="45">
        <f t="shared" si="13"/>
        <v>15795.8</v>
      </c>
      <c r="H50" s="45">
        <f t="shared" si="13"/>
        <v>15795.8</v>
      </c>
      <c r="I50" s="45">
        <f t="shared" si="13"/>
        <v>15795.8</v>
      </c>
      <c r="J50" s="45">
        <f t="shared" si="13"/>
        <v>15795.8</v>
      </c>
      <c r="K50" s="45">
        <f t="shared" si="13"/>
        <v>15795.8</v>
      </c>
      <c r="L50" s="45">
        <f t="shared" si="13"/>
        <v>15795.8</v>
      </c>
      <c r="M50" s="45">
        <f t="shared" si="13"/>
        <v>15795.8</v>
      </c>
      <c r="N50" s="45">
        <f>SUM(B50:M50)</f>
        <v>142162.20000000001</v>
      </c>
      <c r="O50" s="47"/>
    </row>
  </sheetData>
  <pageMargins left="0.7" right="0.7" top="0.75" bottom="0.75" header="0.3" footer="0.3"/>
  <pageSetup paperSize="9" orientation="portrait" horizontalDpi="0" verticalDpi="0"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411E8AC0AD1ED43BF9E036B22F386F1" ma:contentTypeVersion="7" ma:contentTypeDescription="Skapa ett nytt dokument." ma:contentTypeScope="" ma:versionID="32c3f79244787869a6d7f993ae3a6a3d">
  <xsd:schema xmlns:xsd="http://www.w3.org/2001/XMLSchema" xmlns:xs="http://www.w3.org/2001/XMLSchema" xmlns:p="http://schemas.microsoft.com/office/2006/metadata/properties" xmlns:ns2="686c9879-2862-43e0-8e0a-417af8de1d20" targetNamespace="http://schemas.microsoft.com/office/2006/metadata/properties" ma:root="true" ma:fieldsID="e63988e722ec62846decaf23470b8427" ns2:_="">
    <xsd:import namespace="686c9879-2862-43e0-8e0a-417af8de1d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6c9879-2862-43e0-8e0a-417af8de1d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I D A A B Q S w M E F A A C A A g A B m s m U g w b / H u i A A A A 9 Q A A A B I A H A B D b 2 5 m a W c v U G F j a 2 F n Z S 5 4 b W w g o h g A K K A U A A A A A A A A A A A A A A A A A A A A A A A A A A A A h Y 8 x D o I w G I W v Q r r T l r o Q 8 l M G 4 y a J C Y l x b U q F B i i G F s r d H D y S V x C j q J v j e 9 8 3 v H e / 3 i C b u z a Y 1 G B 1 b 1 I U Y Y o C Z W R f a l O l a H T n M E Y Z h 4 O Q j a h U s M j G J r M t U 1 Q 7 d 0 k I 8 d 5 j v 8 H 9 U B F G a U R O + b 6 Q t e o E + s j 6 v x x q Y 5 0 w U i E O x 9 c Y z n A c Y 0 a X S U D W D n J t v p w t 7 E l / S t i O r R s H x e 0 U F j s g a w T y v s A f U E s D B B Q A A g A I A A Z r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G a y Z S K I p H u A 4 A A A A R A A A A E w A c A E Z v c m 1 1 b G F z L 1 N l Y 3 R p b 2 4 x L m 0 g o h g A K K A U A A A A A A A A A A A A A A A A A A A A A A A A A A A A K 0 5 N L s n M z 1 M I h t C G 1 g B Q S w E C L Q A U A A I A C A A G a y Z S D B v 8 e 6 I A A A D 1 A A A A E g A A A A A A A A A A A A A A A A A A A A A A Q 2 9 u Z m l n L 1 B h Y 2 t h Z 2 U u e G 1 s U E s B A i 0 A F A A C A A g A B m s m U g / K 6 a u k A A A A 6 Q A A A B M A A A A A A A A A A A A A A A A A 7 g A A A F t D b 2 5 0 Z W 5 0 X 1 R 5 c G V z X S 5 4 b W x Q S w E C L Q A U A A I A C A A G a y Z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G c P x z s k X k a y + F s 9 v q t i k A A A A A A C A A A A A A A Q Z g A A A A E A A C A A A A B A W C 7 j 4 j X Y V U 7 D j M F V D A s 8 F R 9 B M t J t O R w J 5 Q 3 c t D 4 x T Q A A A A A O g A A A A A I A A C A A A A A b 7 E O N G r 5 F v L g 0 k 7 i d W t Y V / F 1 q 2 4 B Y S A I s y z N C I S l f F 1 A A A A D O v 4 P 3 T r 0 E E / 9 E m b n a B s P 3 s 0 h g J d r Z V g F w e y d j b k W 5 m Z u y / + L Z h g n O m K D S J U s w J o T j h G y / q p 2 e f N f M x k j 1 0 u a w x Y 9 s e S U 6 P o y u p k 2 6 q I B U M 0 A A A A C Z V j u P 4 m 8 P 6 z 8 c i m H j G / n o 6 Y s U t i X + G I F + 8 u W 0 t j b o w c 1 U a e E Z 5 x y e 4 F I L V b 9 e 3 E 5 T l Z 3 2 M w p t Y s u o 9 0 h 0 a 4 D m < / D a t a M a s h u p > 
</file>

<file path=customXml/itemProps1.xml><?xml version="1.0" encoding="utf-8"?>
<ds:datastoreItem xmlns:ds="http://schemas.openxmlformats.org/officeDocument/2006/customXml" ds:itemID="{16074F08-81ED-478B-81CF-821045E43816}">
  <ds:schemaRefs>
    <ds:schemaRef ds:uri="http://schemas.microsoft.com/office/2006/metadata/properties"/>
    <ds:schemaRef ds:uri="686c9879-2862-43e0-8e0a-417af8de1d20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BFA2D21-38A1-4EC5-B032-A80C0468A0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AB88D1-C425-4032-BF25-F06E62A7E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6c9879-2862-43e0-8e0a-417af8de1d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5FFAD79-E48A-4BCB-BAFC-5BDDE8627F7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Budget 2021</vt:lpstr>
      <vt:lpstr>2020</vt:lpstr>
      <vt:lpstr>Personalkostnader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Folkesson</dc:creator>
  <cp:lastModifiedBy>Kjell Folkesson</cp:lastModifiedBy>
  <dcterms:created xsi:type="dcterms:W3CDTF">2015-06-05T18:19:34Z</dcterms:created>
  <dcterms:modified xsi:type="dcterms:W3CDTF">2021-02-01T21:56:22Z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0x010100B411E8AC0AD1ED43BF9E036B22F386F1</vt:lpwstr>
  </property>
</Properties>
</file>